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s\Google Drive\Escaux Share - Ops\Fuzer Project Follow-up\Colt Service Delivery\EORDERS placed at Colt\"/>
    </mc:Choice>
  </mc:AlternateContent>
  <bookViews>
    <workbookView xWindow="0" yWindow="0" windowWidth="28800" windowHeight="12135" tabRatio="607"/>
  </bookViews>
  <sheets>
    <sheet name="Site" sheetId="1" r:id="rId1"/>
    <sheet name="back" sheetId="2" state="hidden" r:id="rId2"/>
    <sheet name="New KR" sheetId="3" state="hidden" r:id="rId3"/>
    <sheet name="back DSL" sheetId="4" state="hidden" r:id="rId4"/>
    <sheet name="datacentre addresses" sheetId="5" state="hidden" r:id="rId5"/>
    <sheet name="back-Bandwidths" sheetId="6" state="hidden" r:id="rId6"/>
  </sheets>
  <definedNames>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Site!$A$1:$AN$937</definedName>
    <definedName name="Print_Area_0" localSheetId="0">Site!$A$1:$AN$937</definedName>
    <definedName name="Print_Area_1" localSheetId="0">Site!$A$1:$AN$937</definedName>
    <definedName name="rgCD_LegalName">#REF!</definedName>
  </definedNames>
  <calcPr calcId="152511"/>
</workbook>
</file>

<file path=xl/calcChain.xml><?xml version="1.0" encoding="utf-8"?>
<calcChain xmlns="http://schemas.openxmlformats.org/spreadsheetml/2006/main">
  <c r="S14" i="5" l="1"/>
  <c r="R14" i="5"/>
  <c r="Q14" i="5"/>
  <c r="P14" i="5"/>
  <c r="O14" i="5"/>
  <c r="N14" i="5"/>
  <c r="M14" i="5"/>
  <c r="L14" i="5"/>
  <c r="K14" i="5"/>
  <c r="J14" i="5"/>
  <c r="I14" i="5"/>
  <c r="H14" i="5"/>
  <c r="G14" i="5"/>
  <c r="F14" i="5"/>
  <c r="E14" i="5"/>
  <c r="D14" i="5"/>
  <c r="C14" i="5"/>
  <c r="B14" i="5"/>
  <c r="A11" i="4"/>
  <c r="A10" i="4"/>
  <c r="A9" i="4"/>
  <c r="A8" i="4"/>
  <c r="A7" i="4"/>
  <c r="A6" i="4"/>
  <c r="A5" i="4"/>
  <c r="A4" i="4"/>
  <c r="A3" i="4"/>
  <c r="D110" i="3"/>
  <c r="D109" i="3"/>
  <c r="D108" i="3"/>
  <c r="D107" i="3"/>
  <c r="D106" i="3"/>
  <c r="F100" i="3"/>
  <c r="C100" i="3"/>
  <c r="R26" i="2" s="1"/>
  <c r="B100" i="3"/>
  <c r="S26" i="2" s="1"/>
  <c r="S32" i="2" s="1"/>
  <c r="C48" i="1" s="1"/>
  <c r="F99" i="3"/>
  <c r="F104" i="3" s="1"/>
  <c r="E99" i="3"/>
  <c r="F98" i="3"/>
  <c r="E98" i="3"/>
  <c r="B86" i="3"/>
  <c r="AO4" i="6" s="1"/>
  <c r="I81" i="3"/>
  <c r="H70" i="3"/>
  <c r="B63" i="3"/>
  <c r="B62" i="3"/>
  <c r="B61" i="3"/>
  <c r="B60" i="3"/>
  <c r="B59" i="3"/>
  <c r="B58" i="3"/>
  <c r="B54" i="3"/>
  <c r="B53" i="3"/>
  <c r="B52" i="3"/>
  <c r="B33" i="3"/>
  <c r="B29" i="3"/>
  <c r="E285" i="2" s="1"/>
  <c r="C249" i="1" s="1"/>
  <c r="B10" i="3"/>
  <c r="C4" i="2" s="1"/>
  <c r="B6" i="3"/>
  <c r="H5" i="3"/>
  <c r="B5" i="3"/>
  <c r="B4" i="3"/>
  <c r="D168" i="2"/>
  <c r="D167" i="2"/>
  <c r="D166" i="2"/>
  <c r="L165" i="2"/>
  <c r="D165" i="2"/>
  <c r="C165" i="2"/>
  <c r="D305" i="1" s="1"/>
  <c r="I30" i="2"/>
  <c r="D11" i="2"/>
  <c r="D4" i="2"/>
  <c r="Y934" i="1"/>
  <c r="Q934" i="1"/>
  <c r="Y932" i="1"/>
  <c r="Y930" i="1"/>
  <c r="Y931" i="1" s="1"/>
  <c r="X927" i="1"/>
  <c r="X933" i="1" s="1"/>
  <c r="X923" i="1"/>
  <c r="O884" i="1"/>
  <c r="O883" i="1"/>
  <c r="E866" i="1"/>
  <c r="E839" i="1"/>
  <c r="D833" i="1"/>
  <c r="H780" i="1"/>
  <c r="H777" i="1"/>
  <c r="R777" i="1" s="1"/>
  <c r="R776" i="1"/>
  <c r="R772" i="1"/>
  <c r="E766" i="1"/>
  <c r="K750" i="1"/>
  <c r="AO747" i="1"/>
  <c r="AO746" i="1"/>
  <c r="AO745" i="1"/>
  <c r="AO744" i="1"/>
  <c r="AO743" i="1"/>
  <c r="AO742" i="1"/>
  <c r="AO741" i="1"/>
  <c r="AO740" i="1"/>
  <c r="AO739" i="1"/>
  <c r="AO738" i="1"/>
  <c r="AO737" i="1"/>
  <c r="AO736" i="1"/>
  <c r="AO735" i="1"/>
  <c r="K735" i="1"/>
  <c r="AO734" i="1"/>
  <c r="AO733" i="1"/>
  <c r="AO732" i="1"/>
  <c r="AO731" i="1"/>
  <c r="E728" i="1"/>
  <c r="E707" i="1"/>
  <c r="P705" i="1"/>
  <c r="O704" i="1"/>
  <c r="E700" i="1"/>
  <c r="E682" i="1"/>
  <c r="AO675" i="1"/>
  <c r="AO674" i="1"/>
  <c r="AO673" i="1"/>
  <c r="AO672" i="1"/>
  <c r="AO671" i="1"/>
  <c r="AO670" i="1"/>
  <c r="AO669" i="1"/>
  <c r="AO668" i="1"/>
  <c r="AO667" i="1"/>
  <c r="AO666" i="1"/>
  <c r="AO665" i="1"/>
  <c r="H664" i="1"/>
  <c r="H652" i="1"/>
  <c r="M647" i="1"/>
  <c r="P644" i="1"/>
  <c r="AD641" i="1"/>
  <c r="D640" i="1"/>
  <c r="G640" i="1" s="1"/>
  <c r="G632" i="1"/>
  <c r="AO625" i="1"/>
  <c r="AO624" i="1"/>
  <c r="AO623" i="1"/>
  <c r="G623" i="1"/>
  <c r="AO622" i="1"/>
  <c r="AO621" i="1"/>
  <c r="D621" i="1"/>
  <c r="AO620" i="1"/>
  <c r="D620" i="1"/>
  <c r="E620" i="1" s="1"/>
  <c r="AO619" i="1"/>
  <c r="AO618" i="1"/>
  <c r="AO617" i="1"/>
  <c r="AO616" i="1"/>
  <c r="AO615" i="1"/>
  <c r="AO614" i="1"/>
  <c r="AO613" i="1"/>
  <c r="AO612" i="1"/>
  <c r="AO611" i="1"/>
  <c r="AO610" i="1"/>
  <c r="AO609" i="1"/>
  <c r="F609" i="1"/>
  <c r="AO608" i="1"/>
  <c r="AO607" i="1"/>
  <c r="AO606" i="1"/>
  <c r="AO605" i="1"/>
  <c r="AO604" i="1"/>
  <c r="AO603" i="1"/>
  <c r="AO602" i="1"/>
  <c r="AO601" i="1"/>
  <c r="AO600" i="1"/>
  <c r="AO599" i="1"/>
  <c r="AO598" i="1"/>
  <c r="E593" i="1"/>
  <c r="N592" i="1"/>
  <c r="E590" i="1"/>
  <c r="E589" i="1"/>
  <c r="E574" i="1"/>
  <c r="E497" i="1"/>
  <c r="E458" i="1"/>
  <c r="Q411" i="1"/>
  <c r="Q410" i="1"/>
  <c r="E394" i="1"/>
  <c r="F332" i="1"/>
  <c r="F331" i="1"/>
  <c r="G328" i="1"/>
  <c r="E325" i="1"/>
  <c r="AO308" i="1"/>
  <c r="AO307" i="1"/>
  <c r="Q307" i="1"/>
  <c r="AO306" i="1"/>
  <c r="AO305" i="1"/>
  <c r="AO304" i="1"/>
  <c r="O273" i="1"/>
  <c r="O270" i="1"/>
  <c r="U245" i="1"/>
  <c r="AO244" i="1"/>
  <c r="AO243" i="1"/>
  <c r="E242" i="1"/>
  <c r="D237" i="1"/>
  <c r="E222" i="1"/>
  <c r="AP216" i="1"/>
  <c r="AP215" i="1"/>
  <c r="AP214" i="1"/>
  <c r="D214" i="1"/>
  <c r="AP213" i="1"/>
  <c r="AP212" i="1"/>
  <c r="AP211" i="1"/>
  <c r="AP210" i="1"/>
  <c r="D210" i="1"/>
  <c r="AP209" i="1"/>
  <c r="AP208" i="1"/>
  <c r="AP207" i="1"/>
  <c r="AP206" i="1"/>
  <c r="AP205" i="1"/>
  <c r="AO178" i="1"/>
  <c r="E177" i="1"/>
  <c r="C165" i="1"/>
  <c r="U133" i="1"/>
  <c r="Q131" i="1"/>
  <c r="Q130" i="1"/>
  <c r="AO112" i="1"/>
  <c r="AO111" i="1"/>
  <c r="AO110" i="1"/>
  <c r="AO109" i="1"/>
  <c r="AO108" i="1"/>
  <c r="AO107" i="1"/>
  <c r="AO106" i="1"/>
  <c r="C104" i="1"/>
  <c r="S100" i="1"/>
  <c r="S96" i="1"/>
  <c r="S101" i="1" s="1"/>
  <c r="S95" i="1"/>
  <c r="S94" i="1"/>
  <c r="S99" i="1" s="1"/>
  <c r="AO87" i="1"/>
  <c r="AO86" i="1"/>
  <c r="AO85" i="1"/>
  <c r="AO84" i="1"/>
  <c r="AO83" i="1"/>
  <c r="AO82" i="1"/>
  <c r="AO81" i="1"/>
  <c r="AO80" i="1"/>
  <c r="AC80" i="1"/>
  <c r="AO79" i="1"/>
  <c r="AO78" i="1"/>
  <c r="AO77" i="1"/>
  <c r="AO76" i="1"/>
  <c r="AO75" i="1"/>
  <c r="AO74" i="1"/>
  <c r="F74" i="1"/>
  <c r="AO73" i="1"/>
  <c r="I73" i="1"/>
  <c r="H73" i="1"/>
  <c r="Y67" i="1"/>
  <c r="AC64" i="1"/>
  <c r="D52" i="1"/>
  <c r="D51" i="1"/>
  <c r="P47" i="1"/>
  <c r="P46" i="1"/>
  <c r="P45" i="1"/>
  <c r="P44" i="1"/>
  <c r="E40" i="1"/>
  <c r="E28" i="1"/>
  <c r="AM4" i="1"/>
  <c r="E104" i="3" l="1"/>
  <c r="E269" i="1"/>
  <c r="AR50" i="1"/>
  <c r="AS56" i="1" s="1"/>
  <c r="D262" i="1"/>
  <c r="L641" i="1"/>
  <c r="U261" i="1"/>
  <c r="E272" i="1"/>
  <c r="S34" i="2"/>
  <c r="C54" i="1" s="1"/>
  <c r="D278" i="1"/>
  <c r="D261" i="1"/>
  <c r="E261" i="1" s="1"/>
  <c r="I141" i="1"/>
  <c r="G136" i="1"/>
  <c r="I122" i="1"/>
  <c r="I118" i="1"/>
  <c r="C114" i="1"/>
  <c r="C108" i="1"/>
  <c r="I142" i="1"/>
  <c r="AQ114" i="1"/>
  <c r="AQ110" i="1"/>
  <c r="V227" i="1"/>
  <c r="I143" i="1"/>
  <c r="G139" i="1"/>
  <c r="U120" i="1"/>
  <c r="AQ116" i="1"/>
  <c r="B113" i="1"/>
  <c r="AQ108" i="1"/>
  <c r="AQ106" i="1"/>
  <c r="V226" i="1"/>
  <c r="B140" i="1"/>
  <c r="I121" i="1"/>
  <c r="AQ117" i="1"/>
  <c r="AQ113" i="1"/>
  <c r="AQ111" i="1"/>
  <c r="T84" i="1"/>
  <c r="G137" i="1"/>
  <c r="AQ118" i="1"/>
  <c r="AQ112" i="1"/>
  <c r="AA10" i="2"/>
  <c r="Y137" i="1" s="1"/>
  <c r="P305" i="1"/>
  <c r="D319" i="1"/>
  <c r="C58" i="3"/>
  <c r="L11" i="2" s="1"/>
  <c r="AO5" i="6"/>
  <c r="F105" i="3"/>
  <c r="E107" i="3" s="1"/>
  <c r="C4" i="3"/>
  <c r="C11" i="2" s="1"/>
  <c r="D288" i="2" s="1"/>
  <c r="C52" i="3"/>
  <c r="K165" i="2" s="1"/>
  <c r="C172" i="2" s="1"/>
  <c r="C175" i="2" s="1"/>
  <c r="B67" i="3"/>
  <c r="R11" i="2" s="1"/>
  <c r="H68" i="3"/>
  <c r="H67" i="3" s="1"/>
  <c r="C27" i="2"/>
  <c r="S13" i="2"/>
  <c r="B152" i="2" s="1"/>
  <c r="V228" i="1"/>
  <c r="C141" i="1"/>
  <c r="I120" i="1"/>
  <c r="AQ115" i="1"/>
  <c r="AQ109" i="1"/>
  <c r="AQ107" i="1"/>
  <c r="T83" i="1"/>
  <c r="B269" i="2"/>
  <c r="D320" i="1"/>
  <c r="D318" i="1"/>
  <c r="D307" i="1"/>
  <c r="C177" i="2"/>
  <c r="S35" i="2"/>
  <c r="S33" i="2"/>
  <c r="C50" i="1" s="1"/>
  <c r="S17" i="2"/>
  <c r="C250" i="1"/>
  <c r="C363" i="2"/>
  <c r="AO310" i="1" s="1"/>
  <c r="D266" i="1"/>
  <c r="J266" i="1" s="1"/>
  <c r="T39" i="2"/>
  <c r="T40" i="2" s="1"/>
  <c r="B101" i="3"/>
  <c r="AE131" i="1" l="1"/>
  <c r="AS52" i="1"/>
  <c r="E108" i="3"/>
  <c r="E110" i="3"/>
  <c r="AS55" i="1"/>
  <c r="AS54" i="1"/>
  <c r="AS51" i="1"/>
  <c r="AS53" i="1"/>
  <c r="AS57" i="1"/>
  <c r="AS50" i="1"/>
  <c r="U131" i="1"/>
  <c r="L929" i="1"/>
  <c r="AE132" i="1"/>
  <c r="X929" i="1"/>
  <c r="Y139" i="1"/>
  <c r="C25" i="2"/>
  <c r="AK9" i="2"/>
  <c r="AM28" i="2" s="1"/>
  <c r="A1" i="4"/>
  <c r="C176" i="2"/>
  <c r="U130" i="1"/>
  <c r="Y929" i="1"/>
  <c r="U134" i="1"/>
  <c r="AJ141" i="1"/>
  <c r="E106" i="3"/>
  <c r="E109" i="3"/>
  <c r="AB143" i="1"/>
  <c r="U135" i="1"/>
  <c r="AJ137" i="1"/>
  <c r="AJ142" i="1"/>
  <c r="Y143" i="1"/>
  <c r="Y141" i="1"/>
  <c r="AJ138" i="1"/>
  <c r="Y138" i="1"/>
  <c r="I929" i="1"/>
  <c r="AJ136" i="1"/>
  <c r="AB144" i="1"/>
  <c r="Y136" i="1"/>
  <c r="AJ143" i="1"/>
  <c r="Y142" i="1"/>
  <c r="X108" i="1"/>
  <c r="H75" i="1"/>
  <c r="G138" i="1"/>
  <c r="B151" i="2"/>
  <c r="B160" i="2" s="1"/>
  <c r="U128" i="1" s="1"/>
  <c r="C26" i="2"/>
  <c r="B268" i="2"/>
  <c r="B273" i="2" s="1"/>
  <c r="Q311" i="1" s="1"/>
  <c r="E111" i="3"/>
  <c r="S41" i="2"/>
  <c r="C362" i="2"/>
  <c r="C369" i="2" s="1"/>
  <c r="F23" i="2"/>
  <c r="X106" i="1" s="1"/>
  <c r="S11" i="2"/>
  <c r="S9" i="2"/>
  <c r="S16" i="2"/>
  <c r="B272" i="2"/>
  <c r="Q310" i="1" s="1"/>
  <c r="D290" i="2"/>
  <c r="D291" i="2"/>
  <c r="D292" i="2" s="1"/>
  <c r="B125" i="2"/>
  <c r="AP201" i="1" s="1"/>
  <c r="B121" i="2"/>
  <c r="AP197" i="1" s="1"/>
  <c r="B117" i="2"/>
  <c r="AP193" i="1" s="1"/>
  <c r="B113" i="2"/>
  <c r="AP189" i="1" s="1"/>
  <c r="B109" i="2"/>
  <c r="AP185" i="1" s="1"/>
  <c r="B105" i="2"/>
  <c r="AP181" i="1" s="1"/>
  <c r="B101" i="2"/>
  <c r="AP177" i="1" s="1"/>
  <c r="B97" i="2"/>
  <c r="AP173" i="1" s="1"/>
  <c r="B93" i="2"/>
  <c r="AP169" i="1" s="1"/>
  <c r="B89" i="2"/>
  <c r="AP165" i="1" s="1"/>
  <c r="B85" i="2"/>
  <c r="AP161" i="1" s="1"/>
  <c r="B81" i="2"/>
  <c r="AP157" i="1" s="1"/>
  <c r="B77" i="2"/>
  <c r="AP153" i="1" s="1"/>
  <c r="B73" i="2"/>
  <c r="AP149" i="1" s="1"/>
  <c r="B69" i="2"/>
  <c r="AP145" i="1" s="1"/>
  <c r="B65" i="2"/>
  <c r="B61" i="2"/>
  <c r="AP137" i="1" s="1"/>
  <c r="B57" i="2"/>
  <c r="AP133" i="1" s="1"/>
  <c r="B53" i="2"/>
  <c r="AP129" i="1" s="1"/>
  <c r="B49" i="2"/>
  <c r="AP125" i="1" s="1"/>
  <c r="B45" i="2"/>
  <c r="B42" i="2"/>
  <c r="AP118" i="1" s="1"/>
  <c r="B39" i="2"/>
  <c r="AP115" i="1" s="1"/>
  <c r="B31" i="2"/>
  <c r="AP107" i="1" s="1"/>
  <c r="B30" i="2"/>
  <c r="B126" i="2"/>
  <c r="AP202" i="1" s="1"/>
  <c r="B122" i="2"/>
  <c r="AP198" i="1" s="1"/>
  <c r="B118" i="2"/>
  <c r="AP194" i="1" s="1"/>
  <c r="B114" i="2"/>
  <c r="AP190" i="1" s="1"/>
  <c r="B110" i="2"/>
  <c r="AP186" i="1" s="1"/>
  <c r="B106" i="2"/>
  <c r="AP182" i="1" s="1"/>
  <c r="B102" i="2"/>
  <c r="AP178" i="1" s="1"/>
  <c r="B98" i="2"/>
  <c r="AP174" i="1" s="1"/>
  <c r="B94" i="2"/>
  <c r="AP170" i="1" s="1"/>
  <c r="B90" i="2"/>
  <c r="AP166" i="1" s="1"/>
  <c r="B86" i="2"/>
  <c r="AP162" i="1" s="1"/>
  <c r="B82" i="2"/>
  <c r="B78" i="2"/>
  <c r="AP154" i="1" s="1"/>
  <c r="B74" i="2"/>
  <c r="AP150" i="1" s="1"/>
  <c r="B70" i="2"/>
  <c r="B66" i="2"/>
  <c r="AP142" i="1" s="1"/>
  <c r="B62" i="2"/>
  <c r="AP138" i="1" s="1"/>
  <c r="B58" i="2"/>
  <c r="AP134" i="1" s="1"/>
  <c r="B54" i="2"/>
  <c r="AP130" i="1" s="1"/>
  <c r="B50" i="2"/>
  <c r="B46" i="2"/>
  <c r="AP122" i="1" s="1"/>
  <c r="B41" i="2"/>
  <c r="AP117" i="1" s="1"/>
  <c r="B36" i="2"/>
  <c r="AP112" i="1" s="1"/>
  <c r="B34" i="2"/>
  <c r="AP110" i="1" s="1"/>
  <c r="B32" i="2"/>
  <c r="AP108" i="1" s="1"/>
  <c r="B127" i="2"/>
  <c r="AP203" i="1" s="1"/>
  <c r="B123" i="2"/>
  <c r="AP199" i="1" s="1"/>
  <c r="B119" i="2"/>
  <c r="AP195" i="1" s="1"/>
  <c r="B115" i="2"/>
  <c r="AP191" i="1" s="1"/>
  <c r="B111" i="2"/>
  <c r="AP187" i="1" s="1"/>
  <c r="B107" i="2"/>
  <c r="AP183" i="1" s="1"/>
  <c r="B103" i="2"/>
  <c r="AP179" i="1" s="1"/>
  <c r="B116" i="2"/>
  <c r="AP192" i="1" s="1"/>
  <c r="B100" i="2"/>
  <c r="AP176" i="1" s="1"/>
  <c r="B92" i="2"/>
  <c r="AP168" i="1" s="1"/>
  <c r="B84" i="2"/>
  <c r="AP160" i="1" s="1"/>
  <c r="B76" i="2"/>
  <c r="B68" i="2"/>
  <c r="AP144" i="1" s="1"/>
  <c r="B60" i="2"/>
  <c r="B52" i="2"/>
  <c r="AP128" i="1" s="1"/>
  <c r="B44" i="2"/>
  <c r="AP120" i="1" s="1"/>
  <c r="B35" i="2"/>
  <c r="B120" i="2"/>
  <c r="AP196" i="1" s="1"/>
  <c r="B104" i="2"/>
  <c r="AP180" i="1" s="1"/>
  <c r="B95" i="2"/>
  <c r="AP171" i="1" s="1"/>
  <c r="B87" i="2"/>
  <c r="AP163" i="1" s="1"/>
  <c r="B79" i="2"/>
  <c r="AP155" i="1" s="1"/>
  <c r="B71" i="2"/>
  <c r="AP147" i="1" s="1"/>
  <c r="B63" i="2"/>
  <c r="AP139" i="1" s="1"/>
  <c r="B55" i="2"/>
  <c r="B47" i="2"/>
  <c r="AP123" i="1" s="1"/>
  <c r="B37" i="2"/>
  <c r="AP113" i="1" s="1"/>
  <c r="B124" i="2"/>
  <c r="AP200" i="1" s="1"/>
  <c r="B108" i="2"/>
  <c r="AP184" i="1" s="1"/>
  <c r="B96" i="2"/>
  <c r="AP172" i="1" s="1"/>
  <c r="B88" i="2"/>
  <c r="B80" i="2"/>
  <c r="AP156" i="1" s="1"/>
  <c r="B72" i="2"/>
  <c r="AP148" i="1" s="1"/>
  <c r="B64" i="2"/>
  <c r="AP140" i="1" s="1"/>
  <c r="B56" i="2"/>
  <c r="AP132" i="1" s="1"/>
  <c r="B48" i="2"/>
  <c r="AP124" i="1" s="1"/>
  <c r="B38" i="2"/>
  <c r="AP114" i="1" s="1"/>
  <c r="B33" i="2"/>
  <c r="AP109" i="1" s="1"/>
  <c r="B128" i="2"/>
  <c r="AP204" i="1" s="1"/>
  <c r="B112" i="2"/>
  <c r="AP188" i="1" s="1"/>
  <c r="B99" i="2"/>
  <c r="AP175" i="1" s="1"/>
  <c r="B91" i="2"/>
  <c r="AP167" i="1" s="1"/>
  <c r="B83" i="2"/>
  <c r="AP159" i="1" s="1"/>
  <c r="B75" i="2"/>
  <c r="AP151" i="1" s="1"/>
  <c r="B67" i="2"/>
  <c r="AP143" i="1" s="1"/>
  <c r="B59" i="2"/>
  <c r="AP135" i="1" s="1"/>
  <c r="B51" i="2"/>
  <c r="AP127" i="1" s="1"/>
  <c r="B43" i="2"/>
  <c r="AP119" i="1" s="1"/>
  <c r="B40" i="2"/>
  <c r="B155" i="2"/>
  <c r="U123" i="1" s="1"/>
  <c r="B261" i="2"/>
  <c r="B257" i="2"/>
  <c r="AP376" i="1" s="1"/>
  <c r="B253" i="2"/>
  <c r="AP372" i="1" s="1"/>
  <c r="B249" i="2"/>
  <c r="AP368" i="1" s="1"/>
  <c r="B245" i="2"/>
  <c r="AP364" i="1" s="1"/>
  <c r="B241" i="2"/>
  <c r="AP360" i="1" s="1"/>
  <c r="B237" i="2"/>
  <c r="AP356" i="1" s="1"/>
  <c r="B233" i="2"/>
  <c r="AP352" i="1" s="1"/>
  <c r="B229" i="2"/>
  <c r="AP348" i="1" s="1"/>
  <c r="B225" i="2"/>
  <c r="B221" i="2"/>
  <c r="AP340" i="1" s="1"/>
  <c r="B217" i="2"/>
  <c r="AP336" i="1" s="1"/>
  <c r="B213" i="2"/>
  <c r="AP332" i="1" s="1"/>
  <c r="B209" i="2"/>
  <c r="AP328" i="1" s="1"/>
  <c r="B205" i="2"/>
  <c r="B42" i="3" s="1"/>
  <c r="B201" i="2"/>
  <c r="AP322" i="1" s="1"/>
  <c r="B197" i="2"/>
  <c r="AP318" i="1" s="1"/>
  <c r="B193" i="2"/>
  <c r="AP314" i="1" s="1"/>
  <c r="B189" i="2"/>
  <c r="AP310" i="1" s="1"/>
  <c r="B185" i="2"/>
  <c r="B181" i="2"/>
  <c r="AP302" i="1" s="1"/>
  <c r="B262" i="2"/>
  <c r="B258" i="2"/>
  <c r="AP377" i="1" s="1"/>
  <c r="B254" i="2"/>
  <c r="AP373" i="1" s="1"/>
  <c r="B250" i="2"/>
  <c r="AP369" i="1" s="1"/>
  <c r="B246" i="2"/>
  <c r="AP365" i="1" s="1"/>
  <c r="B242" i="2"/>
  <c r="AP361" i="1" s="1"/>
  <c r="B238" i="2"/>
  <c r="AP357" i="1" s="1"/>
  <c r="B234" i="2"/>
  <c r="AP353" i="1" s="1"/>
  <c r="B230" i="2"/>
  <c r="B226" i="2"/>
  <c r="AP345" i="1" s="1"/>
  <c r="B222" i="2"/>
  <c r="AP341" i="1" s="1"/>
  <c r="B218" i="2"/>
  <c r="AP337" i="1" s="1"/>
  <c r="B214" i="2"/>
  <c r="AP333" i="1" s="1"/>
  <c r="B210" i="2"/>
  <c r="B206" i="2"/>
  <c r="B202" i="2"/>
  <c r="AP323" i="1" s="1"/>
  <c r="B198" i="2"/>
  <c r="AP319" i="1" s="1"/>
  <c r="B194" i="2"/>
  <c r="AP315" i="1" s="1"/>
  <c r="B190" i="2"/>
  <c r="B186" i="2"/>
  <c r="AP307" i="1" s="1"/>
  <c r="B182" i="2"/>
  <c r="AP303" i="1" s="1"/>
  <c r="B263" i="2"/>
  <c r="B259" i="2"/>
  <c r="B255" i="2"/>
  <c r="AP374" i="1" s="1"/>
  <c r="B251" i="2"/>
  <c r="AP370" i="1" s="1"/>
  <c r="B247" i="2"/>
  <c r="AP366" i="1" s="1"/>
  <c r="B243" i="2"/>
  <c r="AP362" i="1" s="1"/>
  <c r="B239" i="2"/>
  <c r="AP358" i="1" s="1"/>
  <c r="B235" i="2"/>
  <c r="AP354" i="1" s="1"/>
  <c r="B231" i="2"/>
  <c r="AP350" i="1" s="1"/>
  <c r="B227" i="2"/>
  <c r="AP346" i="1" s="1"/>
  <c r="B223" i="2"/>
  <c r="AP342" i="1" s="1"/>
  <c r="B219" i="2"/>
  <c r="AP338" i="1" s="1"/>
  <c r="B215" i="2"/>
  <c r="B211" i="2"/>
  <c r="AP330" i="1" s="1"/>
  <c r="B207" i="2"/>
  <c r="AP326" i="1" s="1"/>
  <c r="B203" i="2"/>
  <c r="AP324" i="1" s="1"/>
  <c r="B199" i="2"/>
  <c r="AP320" i="1" s="1"/>
  <c r="B195" i="2"/>
  <c r="B191" i="2"/>
  <c r="AP312" i="1" s="1"/>
  <c r="B187" i="2"/>
  <c r="AP308" i="1" s="1"/>
  <c r="B183" i="2"/>
  <c r="AP304" i="1" s="1"/>
  <c r="B256" i="2"/>
  <c r="AP375" i="1" s="1"/>
  <c r="B240" i="2"/>
  <c r="AP359" i="1" s="1"/>
  <c r="B224" i="2"/>
  <c r="AP343" i="1" s="1"/>
  <c r="B208" i="2"/>
  <c r="AP327" i="1" s="1"/>
  <c r="B192" i="2"/>
  <c r="AP313" i="1" s="1"/>
  <c r="B260" i="2"/>
  <c r="B244" i="2"/>
  <c r="AP363" i="1" s="1"/>
  <c r="B228" i="2"/>
  <c r="AP347" i="1" s="1"/>
  <c r="B212" i="2"/>
  <c r="AP331" i="1" s="1"/>
  <c r="B196" i="2"/>
  <c r="AP317" i="1" s="1"/>
  <c r="B180" i="2"/>
  <c r="B264" i="2"/>
  <c r="B248" i="2"/>
  <c r="AP367" i="1" s="1"/>
  <c r="B232" i="2"/>
  <c r="AP351" i="1" s="1"/>
  <c r="B216" i="2"/>
  <c r="AP335" i="1" s="1"/>
  <c r="B200" i="2"/>
  <c r="B184" i="2"/>
  <c r="AP305" i="1" s="1"/>
  <c r="B252" i="2"/>
  <c r="AP371" i="1" s="1"/>
  <c r="B236" i="2"/>
  <c r="AP355" i="1" s="1"/>
  <c r="B220" i="2"/>
  <c r="B204" i="2"/>
  <c r="AP325" i="1" s="1"/>
  <c r="B188" i="2"/>
  <c r="AP309" i="1" s="1"/>
  <c r="G133" i="1"/>
  <c r="U118" i="1"/>
  <c r="T113" i="1"/>
  <c r="U117" i="1"/>
  <c r="U119" i="1"/>
  <c r="U114" i="1"/>
  <c r="C115" i="1"/>
  <c r="AQ52" i="1"/>
  <c r="AQ51" i="1"/>
  <c r="AQ50" i="1"/>
  <c r="C365" i="2"/>
  <c r="C371" i="2"/>
  <c r="C368" i="2"/>
  <c r="A2" i="4"/>
  <c r="B157" i="2" l="1"/>
  <c r="U125" i="1" s="1"/>
  <c r="B271" i="2"/>
  <c r="Q309" i="1" s="1"/>
  <c r="B276" i="2"/>
  <c r="Q314" i="1" s="1"/>
  <c r="AM29" i="2"/>
  <c r="B278" i="2"/>
  <c r="Q316" i="1" s="1"/>
  <c r="AM30" i="2"/>
  <c r="B274" i="2"/>
  <c r="Q312" i="1" s="1"/>
  <c r="C367" i="2"/>
  <c r="AO314" i="1" s="1"/>
  <c r="C370" i="2"/>
  <c r="C257" i="1" s="1"/>
  <c r="C372" i="2"/>
  <c r="C366" i="2"/>
  <c r="AO313" i="1" s="1"/>
  <c r="B270" i="2"/>
  <c r="Q308" i="1" s="1"/>
  <c r="B277" i="2"/>
  <c r="Q315" i="1" s="1"/>
  <c r="C364" i="2"/>
  <c r="AO311" i="1" s="1"/>
  <c r="AO309" i="1"/>
  <c r="B275" i="2"/>
  <c r="Q313" i="1" s="1"/>
  <c r="B154" i="2"/>
  <c r="U122" i="1" s="1"/>
  <c r="B156" i="2"/>
  <c r="U124" i="1" s="1"/>
  <c r="Y40" i="2"/>
  <c r="I51" i="1" s="1"/>
  <c r="S42" i="2"/>
  <c r="Y41" i="2" s="1"/>
  <c r="I52" i="1" s="1"/>
  <c r="B158" i="2"/>
  <c r="U126" i="1" s="1"/>
  <c r="B161" i="2"/>
  <c r="Q129" i="1" s="1"/>
  <c r="B159" i="2"/>
  <c r="U127" i="1" s="1"/>
  <c r="B153" i="2"/>
  <c r="U121" i="1" s="1"/>
  <c r="C256" i="1"/>
  <c r="AO316" i="1"/>
  <c r="B39" i="3"/>
  <c r="AP311" i="1"/>
  <c r="B20" i="3"/>
  <c r="AP136" i="1"/>
  <c r="AP141" i="1"/>
  <c r="B21" i="3"/>
  <c r="B17" i="3"/>
  <c r="AP121" i="1"/>
  <c r="B37" i="3"/>
  <c r="AP301" i="1"/>
  <c r="B47" i="3"/>
  <c r="AP349" i="1"/>
  <c r="B46" i="3"/>
  <c r="AP344" i="1"/>
  <c r="B23" i="3"/>
  <c r="AP152" i="1"/>
  <c r="B40" i="3"/>
  <c r="AP316" i="1"/>
  <c r="AP306" i="1"/>
  <c r="B38" i="3"/>
  <c r="B22" i="3"/>
  <c r="AP146" i="1"/>
  <c r="C356" i="2"/>
  <c r="AO303" i="1" s="1"/>
  <c r="C352" i="2"/>
  <c r="AO299" i="1" s="1"/>
  <c r="C348" i="2"/>
  <c r="AO295" i="1" s="1"/>
  <c r="C344" i="2"/>
  <c r="AO291" i="1" s="1"/>
  <c r="C340" i="2"/>
  <c r="AO287" i="1" s="1"/>
  <c r="C336" i="2"/>
  <c r="AO283" i="1" s="1"/>
  <c r="C332" i="2"/>
  <c r="AO279" i="1" s="1"/>
  <c r="C328" i="2"/>
  <c r="AO275" i="1" s="1"/>
  <c r="C324" i="2"/>
  <c r="AO271" i="1" s="1"/>
  <c r="C320" i="2"/>
  <c r="AO267" i="1" s="1"/>
  <c r="C316" i="2"/>
  <c r="AO263" i="1" s="1"/>
  <c r="C312" i="2"/>
  <c r="AO261" i="1" s="1"/>
  <c r="C308" i="2"/>
  <c r="AO257" i="1" s="1"/>
  <c r="C304" i="2"/>
  <c r="AO253" i="1" s="1"/>
  <c r="C300" i="2"/>
  <c r="AO249" i="1" s="1"/>
  <c r="C296" i="2"/>
  <c r="AO245" i="1" s="1"/>
  <c r="C353" i="2"/>
  <c r="AO300" i="1" s="1"/>
  <c r="C349" i="2"/>
  <c r="AO296" i="1" s="1"/>
  <c r="C345" i="2"/>
  <c r="AO292" i="1" s="1"/>
  <c r="C341" i="2"/>
  <c r="AO288" i="1" s="1"/>
  <c r="C337" i="2"/>
  <c r="AO284" i="1" s="1"/>
  <c r="C333" i="2"/>
  <c r="AO280" i="1" s="1"/>
  <c r="C329" i="2"/>
  <c r="AO276" i="1" s="1"/>
  <c r="C325" i="2"/>
  <c r="AO272" i="1" s="1"/>
  <c r="C321" i="2"/>
  <c r="AO268" i="1" s="1"/>
  <c r="C317" i="2"/>
  <c r="AO264" i="1" s="1"/>
  <c r="C313" i="2"/>
  <c r="C309" i="2"/>
  <c r="AO258" i="1" s="1"/>
  <c r="C305" i="2"/>
  <c r="AO254" i="1" s="1"/>
  <c r="C301" i="2"/>
  <c r="AO250" i="1" s="1"/>
  <c r="C297" i="2"/>
  <c r="AO246" i="1" s="1"/>
  <c r="C354" i="2"/>
  <c r="AO301" i="1" s="1"/>
  <c r="C350" i="2"/>
  <c r="AO297" i="1" s="1"/>
  <c r="C346" i="2"/>
  <c r="AO293" i="1" s="1"/>
  <c r="C342" i="2"/>
  <c r="AO289" i="1" s="1"/>
  <c r="C338" i="2"/>
  <c r="AO285" i="1" s="1"/>
  <c r="C334" i="2"/>
  <c r="AO281" i="1" s="1"/>
  <c r="C330" i="2"/>
  <c r="AO277" i="1" s="1"/>
  <c r="C326" i="2"/>
  <c r="AO273" i="1" s="1"/>
  <c r="C322" i="2"/>
  <c r="AO269" i="1" s="1"/>
  <c r="C318" i="2"/>
  <c r="AO265" i="1" s="1"/>
  <c r="C314" i="2"/>
  <c r="C310" i="2"/>
  <c r="AO259" i="1" s="1"/>
  <c r="C306" i="2"/>
  <c r="AO255" i="1" s="1"/>
  <c r="C302" i="2"/>
  <c r="AO251" i="1" s="1"/>
  <c r="C298" i="2"/>
  <c r="AO247" i="1" s="1"/>
  <c r="C351" i="2"/>
  <c r="AO298" i="1" s="1"/>
  <c r="C335" i="2"/>
  <c r="AO282" i="1" s="1"/>
  <c r="C319" i="2"/>
  <c r="AO266" i="1" s="1"/>
  <c r="C303" i="2"/>
  <c r="AO252" i="1" s="1"/>
  <c r="C355" i="2"/>
  <c r="AO302" i="1" s="1"/>
  <c r="C339" i="2"/>
  <c r="AO286" i="1" s="1"/>
  <c r="C323" i="2"/>
  <c r="AO270" i="1" s="1"/>
  <c r="C307" i="2"/>
  <c r="AO256" i="1" s="1"/>
  <c r="C343" i="2"/>
  <c r="AO290" i="1" s="1"/>
  <c r="C327" i="2"/>
  <c r="AO274" i="1" s="1"/>
  <c r="C311" i="2"/>
  <c r="AO260" i="1" s="1"/>
  <c r="C347" i="2"/>
  <c r="AO294" i="1" s="1"/>
  <c r="C331" i="2"/>
  <c r="AO278" i="1" s="1"/>
  <c r="C315" i="2"/>
  <c r="AO262" i="1" s="1"/>
  <c r="C299" i="2"/>
  <c r="AO248" i="1" s="1"/>
  <c r="C255" i="1"/>
  <c r="AO315" i="1"/>
  <c r="C252" i="1"/>
  <c r="AO312" i="1"/>
  <c r="B25" i="3"/>
  <c r="AP164" i="1"/>
  <c r="AP126" i="1"/>
  <c r="B18" i="3"/>
  <c r="B24" i="3"/>
  <c r="AP158" i="1"/>
  <c r="AP106" i="1"/>
  <c r="B14" i="3"/>
  <c r="C253" i="1"/>
  <c r="AP339" i="1"/>
  <c r="B45" i="3"/>
  <c r="B41" i="3"/>
  <c r="AP321" i="1"/>
  <c r="AP334" i="1"/>
  <c r="B44" i="3"/>
  <c r="B43" i="3"/>
  <c r="AP329" i="1"/>
  <c r="B16" i="3"/>
  <c r="AP116" i="1"/>
  <c r="B19" i="3"/>
  <c r="AP131" i="1"/>
  <c r="B15" i="3"/>
  <c r="AP111" i="1"/>
  <c r="C251" i="1" l="1"/>
  <c r="C254" i="1"/>
  <c r="C14" i="3"/>
  <c r="H30" i="2" s="1"/>
  <c r="C37" i="3"/>
  <c r="C170" i="2" s="1"/>
</calcChain>
</file>

<file path=xl/comments1.xml><?xml version="1.0" encoding="utf-8"?>
<comments xmlns="http://schemas.openxmlformats.org/spreadsheetml/2006/main">
  <authors>
    <author/>
  </authors>
  <commentList>
    <comment ref="C1" authorId="0" shapeId="0">
      <text>
        <r>
          <rPr>
            <b/>
            <sz val="8"/>
            <color rgb="FF000000"/>
            <rFont val="Tahoma"/>
            <family val="2"/>
            <charset val="1"/>
          </rPr>
          <t xml:space="preserve">bmiedema:
</t>
        </r>
        <r>
          <rPr>
            <sz val="8"/>
            <color rgb="FF000000"/>
            <rFont val="Tahoma"/>
            <family val="2"/>
            <charset val="1"/>
          </rPr>
          <t>Fibre &amp; leased line = index 36</t>
        </r>
      </text>
    </comment>
  </commentList>
</comments>
</file>

<file path=xl/sharedStrings.xml><?xml version="1.0" encoding="utf-8"?>
<sst xmlns="http://schemas.openxmlformats.org/spreadsheetml/2006/main" count="2909" uniqueCount="1187">
  <si>
    <t>Customer Contract Pack - Order Form</t>
  </si>
  <si>
    <t>Version 73</t>
  </si>
  <si>
    <t>COLT IP VPN Plus</t>
  </si>
  <si>
    <t>Site Details for site nr:</t>
  </si>
  <si>
    <r>
      <t xml:space="preserve">Note: for every site of the network, please save a </t>
    </r>
    <r>
      <rPr>
        <i/>
        <u/>
        <sz val="10"/>
        <color rgb="FF808080"/>
        <rFont val="Arial"/>
        <family val="2"/>
        <charset val="1"/>
      </rPr>
      <t>separate</t>
    </r>
    <r>
      <rPr>
        <i/>
        <sz val="10"/>
        <color rgb="FF808080"/>
        <rFont val="Arial"/>
        <family val="2"/>
        <charset val="1"/>
      </rPr>
      <t xml:space="preserve"> file. Please do not use multiple sheets within one file to describe the different sites.</t>
    </r>
  </si>
  <si>
    <t>Save the files in the standard COLT .xls file format, please do not use .xlsm which is not fully supported by COLT.</t>
  </si>
  <si>
    <t>Please enter the Site number, starting with 1 for the first Site, 2, 3, etc:</t>
  </si>
  <si>
    <r>
      <t xml:space="preserve">In case of a modification / upgrade / downgrade to an </t>
    </r>
    <r>
      <rPr>
        <u/>
        <sz val="10"/>
        <rFont val="Arial"/>
        <family val="2"/>
        <charset val="1"/>
      </rPr>
      <t>existing</t>
    </r>
    <r>
      <rPr>
        <sz val="10"/>
        <rFont val="Arial"/>
        <family val="2"/>
        <charset val="1"/>
      </rPr>
      <t xml:space="preserve"> site, please provide the </t>
    </r>
    <r>
      <rPr>
        <u/>
        <sz val="10"/>
        <rFont val="Arial"/>
        <family val="2"/>
        <charset val="1"/>
      </rPr>
      <t>existing</t>
    </r>
    <r>
      <rPr>
        <sz val="10"/>
        <rFont val="Arial"/>
        <family val="2"/>
        <charset val="1"/>
      </rPr>
      <t xml:space="preserve"> IP VPN </t>
    </r>
    <r>
      <rPr>
        <b/>
        <sz val="10"/>
        <rFont val="Arial"/>
        <family val="2"/>
        <charset val="1"/>
      </rPr>
      <t>Site</t>
    </r>
    <r>
      <rPr>
        <sz val="10"/>
        <rFont val="Arial"/>
        <family val="2"/>
        <charset val="1"/>
      </rPr>
      <t xml:space="preserve"> Order Number:</t>
    </r>
  </si>
  <si>
    <t>Type of Site:</t>
  </si>
  <si>
    <t>x</t>
  </si>
  <si>
    <t>Hub or Main Site 1</t>
  </si>
  <si>
    <t>note: also in case of Any to Any topologies you can have a Main site</t>
  </si>
  <si>
    <t>Hub or Main Site 2</t>
  </si>
  <si>
    <t>note: a second hub site is optional</t>
  </si>
  <si>
    <t>Branch site</t>
  </si>
  <si>
    <t>╚&gt;</t>
  </si>
  <si>
    <t>in case a hub site is present, please specify</t>
  </si>
  <si>
    <r>
      <t xml:space="preserve">please provide the </t>
    </r>
    <r>
      <rPr>
        <b/>
        <sz val="10"/>
        <rFont val="Arial"/>
        <family val="2"/>
        <charset val="1"/>
      </rPr>
      <t>Service</t>
    </r>
    <r>
      <rPr>
        <sz val="10"/>
        <rFont val="Arial"/>
        <family val="2"/>
        <charset val="1"/>
      </rPr>
      <t xml:space="preserve"> ID</t>
    </r>
  </si>
  <si>
    <t>Hub site ordered in this order form</t>
  </si>
  <si>
    <t>Remote Fixed site</t>
  </si>
  <si>
    <t>Please remember to complete the Remote Fixed section below (Row 696)</t>
  </si>
  <si>
    <t>N/A</t>
  </si>
  <si>
    <t>Is the delivery address in a COLT Datacentre?</t>
  </si>
  <si>
    <t>(note: for a delivery address at a 'standard' customer site please see section just below)</t>
  </si>
  <si>
    <t>BE1 COLT Telecom NV/SA Nossegem 1930 Mercuriusstraat 30 - Brussels Belgium</t>
  </si>
  <si>
    <t>Yes</t>
  </si>
  <si>
    <t>FR1 COLT Telecom SA 63 Boulevard Bessieres - 75017 Paris France</t>
  </si>
  <si>
    <t>No</t>
  </si>
  <si>
    <t>FR2 COLT Telecom SA Zone d'activités de Courtaboeuf 15, Rue du Cap Horn 91940 Les Ulis France</t>
  </si>
  <si>
    <t>DE1 COLT Telecom GmbH Hanauer Landstrasse. 326 - D-60314  Frankfurt / Main  Germany</t>
  </si>
  <si>
    <t>In the specific case that the delivery address is located within a COLT Data centre, please choose the COLT datacenter site:</t>
  </si>
  <si>
    <t>DE2 COLT Telecom GmbH Wiebestrasse 46 - D-10533  Berlin Germany</t>
  </si>
  <si>
    <t>DE3 COLT Telecom GmbH Obenhauptstr. 1c - 22335 Hamburg Germany</t>
  </si>
  <si>
    <t>NL1 COLT Telecom BV  Van der Madeweg 12-14a POSTBUS 94014 1090GA Amsterdam The Netherlands</t>
  </si>
  <si>
    <t>NL2 COLT Telecom BV  Luchtvaartstraat 2b-c - 1059 CA AMSTERDAM The Netherlands</t>
  </si>
  <si>
    <t>Please do complete in the section below the "service country" field and the contact details</t>
  </si>
  <si>
    <t>IT1 COLT Telecom SpA Via Lancetti 23 - 20159 Milan Italy</t>
  </si>
  <si>
    <t>IT2 COLT Telecom SpA Via Livorno 60 - 10144 Turin Italy</t>
  </si>
  <si>
    <t>ES1 COLT Telecom España SAU Avinida Monoteras 42 Calle 3 28050 Madrid Spain</t>
  </si>
  <si>
    <t>ES2 COLT Telecom España SAU ACER 5-9 - 08038 Barcelona Spain</t>
  </si>
  <si>
    <t>Is the delivery address in a Dedicated Cloud Access (DCA) partner?</t>
  </si>
  <si>
    <t>CH1 COLT Telecom AG Badenerstrasse 820 - 08048 Zurich  Switzerland</t>
  </si>
  <si>
    <t>UK1 COLT Telecom Units 3,5 and 9 Princes Court Wapping Lane E1W 2DA London UK</t>
  </si>
  <si>
    <t>UK2 COLT Telecom Unit 9-13, Powergate Business Centre Volt Avenue, Park Royal NW10 6PN London UK</t>
  </si>
  <si>
    <t>UK3 COLT Telecom Black Fan Road - AL7 1QA Welwyn Garden City UK</t>
  </si>
  <si>
    <t>Bespoke reference:</t>
  </si>
  <si>
    <t>DK1 COLT Telecom A/S Borgmester Christiansens Gade 55 - 2450 Copenhagen Denmark</t>
  </si>
  <si>
    <t>Select the DCA partner:</t>
  </si>
  <si>
    <t>NA</t>
  </si>
  <si>
    <t>PT1 COLT Telecom Portugal Estrada da Outurela 118 Edificio B  Carnaxide 2790-114  Lisbon Portugal</t>
  </si>
  <si>
    <t>Select interconnect location:</t>
  </si>
  <si>
    <t>Select the Bandwidth:</t>
  </si>
  <si>
    <t>Select DCA - Microsoft Azure or Amazon Web Services</t>
  </si>
  <si>
    <t>Microsoft Azure</t>
  </si>
  <si>
    <t>Select bandwidth. IMPORTANT - connectivity into Azure is always based on 2 circuits in Active/Active configuration</t>
  </si>
  <si>
    <t>Amazon Web Services</t>
  </si>
  <si>
    <t>Select Amazon/Microsoft network access PoP from the pulldown list</t>
  </si>
  <si>
    <t>Delivery Address at customer site (primary circuit)</t>
  </si>
  <si>
    <t>Network Termination Point (NTP)</t>
  </si>
  <si>
    <t>Identical to Ordering Customer Details</t>
  </si>
  <si>
    <t>Identical the Billing Customer Details</t>
  </si>
  <si>
    <t>New Building</t>
  </si>
  <si>
    <t>note: applicable for COLT Fibre only</t>
  </si>
  <si>
    <t>Company Name</t>
  </si>
  <si>
    <t>*</t>
  </si>
  <si>
    <t>Interxion</t>
  </si>
  <si>
    <t>Building Name</t>
  </si>
  <si>
    <t>Dual Entry</t>
  </si>
  <si>
    <t>(Default)</t>
  </si>
  <si>
    <t>Address</t>
  </si>
  <si>
    <t>WEZEMBEEKSTRAAT 2</t>
  </si>
  <si>
    <t>Cabinet</t>
  </si>
  <si>
    <t>Existing</t>
  </si>
  <si>
    <t>New</t>
  </si>
  <si>
    <t>Town/City</t>
  </si>
  <si>
    <t>ZAVENTEM</t>
  </si>
  <si>
    <t>BCP Reference</t>
  </si>
  <si>
    <t>Postcode</t>
  </si>
  <si>
    <t>BE</t>
  </si>
  <si>
    <t>Access Time Window</t>
  </si>
  <si>
    <t>Access Notification Window</t>
  </si>
  <si>
    <t>Floor Number</t>
  </si>
  <si>
    <t>GROUND</t>
  </si>
  <si>
    <t>Contact Name</t>
  </si>
  <si>
    <t>Room Number</t>
  </si>
  <si>
    <t>MEETME</t>
  </si>
  <si>
    <t>Title</t>
  </si>
  <si>
    <t>CAB ID, DDF or Frame ID</t>
  </si>
  <si>
    <t>Existing Colt CAB - carrier room @Interxion (site ID: BRU01180/003)</t>
  </si>
  <si>
    <t>E-mail</t>
  </si>
  <si>
    <t>Telephone</t>
  </si>
  <si>
    <t>Internal Cabling required</t>
  </si>
  <si>
    <t>Mobile Number</t>
  </si>
  <si>
    <t>Cable Distance</t>
  </si>
  <si>
    <t>Fax Number</t>
  </si>
  <si>
    <t>Correspondence Language</t>
  </si>
  <si>
    <t>note: Technical contacts requested in this section are the contacts specfic for this particular site</t>
  </si>
  <si>
    <t>Technical contact during Installation</t>
  </si>
  <si>
    <t>Pierre Deguelle</t>
  </si>
  <si>
    <t>pierre.deguelle@escaux.com</t>
  </si>
  <si>
    <t>Francais</t>
  </si>
  <si>
    <t>Technical contact in operational mode after Installation - during business hours</t>
  </si>
  <si>
    <t>Technical contact in operational mode after Installation - after business hours</t>
  </si>
  <si>
    <t>Access Type</t>
  </si>
  <si>
    <t>Fibre</t>
  </si>
  <si>
    <t>Service Bandwidth - IP VPN</t>
  </si>
  <si>
    <t>20M</t>
  </si>
  <si>
    <t>Access Circuit</t>
  </si>
  <si>
    <t>Ethernet circuit</t>
  </si>
  <si>
    <t>TDM or SDH circuit</t>
  </si>
  <si>
    <t>Access Circuit Bandwidth:</t>
  </si>
  <si>
    <t>2M</t>
  </si>
  <si>
    <t>2 x 2M</t>
  </si>
  <si>
    <t>3 x 2M</t>
  </si>
  <si>
    <t>4 x 2M</t>
  </si>
  <si>
    <t>T1*</t>
  </si>
  <si>
    <t>2 x T1*</t>
  </si>
  <si>
    <t>3 x T1*</t>
  </si>
  <si>
    <t>4 x T1*</t>
  </si>
  <si>
    <t>34M</t>
  </si>
  <si>
    <t>45M</t>
  </si>
  <si>
    <t>155M</t>
  </si>
  <si>
    <t>Sub-2M**</t>
  </si>
  <si>
    <t>*note: T1 only outside of COLT countries in US, Japan, etc</t>
  </si>
  <si>
    <t>**note: Sub-2M is not available anymore for new orders: Stop Sell</t>
  </si>
  <si>
    <t>Customer Chosen Site Name Alias (optional)</t>
  </si>
  <si>
    <t>In case you have "Customer Reporting (Silver or Gold)" selected on the Service Order Form, you can provide here an alias name for this Site.</t>
  </si>
  <si>
    <t>This alias will be shown on the reports next to the COLT internal identifier of your site (like "8123456") for your convenience and easy recognition.</t>
  </si>
  <si>
    <t>Customer chosen alias for this site:</t>
  </si>
  <si>
    <t>COLT Interxion</t>
  </si>
  <si>
    <t>(max 25 characters, for example "Brussels Headquarter")</t>
  </si>
  <si>
    <t>IP Addressing (Mandatory)</t>
  </si>
  <si>
    <t>IP addressing is specified by the customer for the COLT CPE Router LAN Ethernet interface</t>
  </si>
  <si>
    <t>Will the customer use:</t>
  </si>
  <si>
    <t>IPv4 only</t>
  </si>
  <si>
    <t>(default)</t>
  </si>
  <si>
    <t>IPv6 only</t>
  </si>
  <si>
    <t>Dual stack</t>
  </si>
  <si>
    <t>IPv4 Address</t>
  </si>
  <si>
    <t>Mask</t>
  </si>
  <si>
    <t>IPv4 LAN Interface primary router, primary interface</t>
  </si>
  <si>
    <t>IPv6 Address</t>
  </si>
  <si>
    <t>IPv6 LAN Interface primary router, primary interface</t>
  </si>
  <si>
    <t>/</t>
  </si>
  <si>
    <r>
      <t xml:space="preserve">Note: The following IP addresses are excluded and </t>
    </r>
    <r>
      <rPr>
        <i/>
        <u/>
        <sz val="10"/>
        <color rgb="FF808080"/>
        <rFont val="Arial"/>
        <family val="2"/>
        <charset val="1"/>
      </rPr>
      <t>cannot</t>
    </r>
    <r>
      <rPr>
        <i/>
        <sz val="10"/>
        <color rgb="FF808080"/>
        <rFont val="Arial"/>
        <family val="2"/>
        <charset val="1"/>
      </rPr>
      <t xml:space="preserve"> be chosen as your LAN Addresses in the fields above:</t>
    </r>
  </si>
  <si>
    <t>Excluded for IP VPN Plus:</t>
  </si>
  <si>
    <t>(1) 192.168.99.0 /24 to 192.168.255.0 /24  (used as loopback management address)</t>
  </si>
  <si>
    <t>(2) 10.82.20.0 /22 (used for the Colt management systems)</t>
  </si>
  <si>
    <t>Excluded for IP VPN Plus (WAN):</t>
  </si>
  <si>
    <r>
      <t xml:space="preserve">(3) 10.255.0.0/16 </t>
    </r>
    <r>
      <rPr>
        <i/>
        <u/>
        <sz val="10"/>
        <color rgb="FF808080"/>
        <rFont val="Arial"/>
        <family val="2"/>
        <charset val="1"/>
      </rPr>
      <t>OR</t>
    </r>
    <r>
      <rPr>
        <i/>
        <sz val="10"/>
        <color rgb="FF808080"/>
        <rFont val="Arial"/>
        <family val="2"/>
        <charset val="1"/>
      </rPr>
      <t xml:space="preserve"> 172.20.0.0/16 </t>
    </r>
    <r>
      <rPr>
        <i/>
        <u/>
        <sz val="10"/>
        <color rgb="FF808080"/>
        <rFont val="Arial"/>
        <family val="2"/>
        <charset val="1"/>
      </rPr>
      <t>OR</t>
    </r>
    <r>
      <rPr>
        <i/>
        <sz val="10"/>
        <color rgb="FF808080"/>
        <rFont val="Arial"/>
        <family val="2"/>
        <charset val="1"/>
      </rPr>
      <t xml:space="preserve"> 172.21.0.0/16 </t>
    </r>
    <r>
      <rPr>
        <i/>
        <u/>
        <sz val="10"/>
        <color rgb="FF808080"/>
        <rFont val="Arial"/>
        <family val="2"/>
        <charset val="1"/>
      </rPr>
      <t>OR</t>
    </r>
    <r>
      <rPr>
        <i/>
        <sz val="10"/>
        <color rgb="FF808080"/>
        <rFont val="Arial"/>
        <family val="2"/>
        <charset val="1"/>
      </rPr>
      <t xml:space="preserve"> 172.22.0.0 (one of these ranges can be used, but not all)</t>
    </r>
  </si>
  <si>
    <r>
      <t xml:space="preserve">Do you require a Back-up service, or multiple Ethernet interfaces? </t>
    </r>
    <r>
      <rPr>
        <sz val="10"/>
        <rFont val="Arial"/>
        <family val="2"/>
        <charset val="1"/>
      </rPr>
      <t>In case of Yes, additional IP address information is required.</t>
    </r>
  </si>
  <si>
    <t>Note: the following ip addresses only need to be filled-in if you are selecting any of the non ISDN backup options</t>
  </si>
  <si>
    <t>IPv4 LAN Interface primary router, secondary interface</t>
  </si>
  <si>
    <t>note: only needed when there a second LAN port on the first CPE router is used</t>
  </si>
  <si>
    <t>IPv4 LAN Interface secondary router, primary interface</t>
  </si>
  <si>
    <t>note: only needed when there is a second CPE router</t>
  </si>
  <si>
    <t>IPv4 LAN Interface secondary router, secondary interface</t>
  </si>
  <si>
    <t>note: only needed when there is a second CPE router with a second LAN port used</t>
  </si>
  <si>
    <t>IPv4 Virtual Interface (complete only for Resilience - Dual Access)</t>
  </si>
  <si>
    <t>note: only needed in case Resiliency is taken - "Dual Access"</t>
  </si>
  <si>
    <t>IPv6 LAN Interface primary router, secondary interface</t>
  </si>
  <si>
    <t>note:</t>
  </si>
  <si>
    <t>only needed when there a second LAN port on the first CPE router is used</t>
  </si>
  <si>
    <t>IPv6 LAN Interface secondary router, primary interface</t>
  </si>
  <si>
    <t>only needed when there a second CPE router</t>
  </si>
  <si>
    <t>only needed when there is a second CPE with a second LAN port used</t>
  </si>
  <si>
    <t>IPv6 Virtual Interface (complete only for Resillence - Dual Access)</t>
  </si>
  <si>
    <t>only needed in case Resiliency is taken - "Dual Access"</t>
  </si>
  <si>
    <t>Ethernet LAN Interface specifications:</t>
  </si>
  <si>
    <t>100Base-T</t>
  </si>
  <si>
    <t>Full duplex</t>
  </si>
  <si>
    <t>10Base-T</t>
  </si>
  <si>
    <t>Half duplex</t>
  </si>
  <si>
    <t>Autosensing 10/100</t>
  </si>
  <si>
    <t>1000Base-T RJ45</t>
  </si>
  <si>
    <t>1000Base-F SC/PC</t>
  </si>
  <si>
    <t>10GBase-LR LC/PC</t>
  </si>
  <si>
    <t>Back-up, Enhanced Availability and Resilience (Optional)</t>
  </si>
  <si>
    <t>ISDN Back-up</t>
  </si>
  <si>
    <t>Type of ISDN back-up</t>
  </si>
  <si>
    <t>Option 1</t>
  </si>
  <si>
    <t>(Partially Inclusive ISDN Backup Around the Network without Freephone)</t>
  </si>
  <si>
    <t>Option 2</t>
  </si>
  <si>
    <t>(Partially Inclusive ISDN Backup Around the Network and Freephone No.)</t>
  </si>
  <si>
    <t>Option 4</t>
  </si>
  <si>
    <t>(Fully Inclusive ISDN Backup Around the Network)</t>
  </si>
  <si>
    <t>ISDN circuit requested for the ISDN backup:</t>
  </si>
  <si>
    <t>ISDN back-up capacity:</t>
  </si>
  <si>
    <t>1 BRI</t>
  </si>
  <si>
    <t>2 BRI</t>
  </si>
  <si>
    <t>3 BRI</t>
  </si>
  <si>
    <t>4 BRI</t>
  </si>
  <si>
    <t>1 PRI</t>
  </si>
  <si>
    <t>2 PRI</t>
  </si>
  <si>
    <t>4 PRI</t>
  </si>
  <si>
    <t>(6 channels)</t>
  </si>
  <si>
    <t>(full)</t>
  </si>
  <si>
    <t>Optional: number of B-channels requested:</t>
  </si>
  <si>
    <t>note: number of B - channels must fit on the ISDN circuit requested above, for example 1 or 2 B channel(s) on 1 BRI</t>
  </si>
  <si>
    <t>In case of Option 2, please do provide the geographical number of the hub site to which the freephone number will be diverted to:</t>
  </si>
  <si>
    <t>DSL Back-up</t>
  </si>
  <si>
    <t>Access Type DSL Back-up circuit</t>
  </si>
  <si>
    <t>Service Bandwidth DSL Back-up circuit</t>
  </si>
  <si>
    <t>Note: please do not forget to complete the section "IP Addressing", particularly "LAN Interface - Secondary Router" and "Virtual Interface".</t>
  </si>
  <si>
    <t>Dual Access</t>
  </si>
  <si>
    <t>Type of Dual Access:</t>
  </si>
  <si>
    <t>Primary and Backup</t>
  </si>
  <si>
    <t>Load Sharing</t>
  </si>
  <si>
    <t>Outgoing Traffic  (LAN to MPLS)</t>
  </si>
  <si>
    <t>GLBP (cisco proprietary)</t>
  </si>
  <si>
    <t>M-VRRP</t>
  </si>
  <si>
    <t>(bespoke)</t>
  </si>
  <si>
    <t>Incoming Traffic  (MPSL to LAN)</t>
  </si>
  <si>
    <t>eiBGP Multipath</t>
  </si>
  <si>
    <t>Subnet advertisement</t>
  </si>
  <si>
    <t>Exact same address for delivery of primary circuit and backup circuit?</t>
  </si>
  <si>
    <t>Country</t>
  </si>
  <si>
    <t>Internal Cabling Required</t>
  </si>
  <si>
    <t>Access Type Back-up/Secondary circuit:</t>
  </si>
  <si>
    <t>Service Bandwidth Back-up/Secondary circuit:</t>
  </si>
  <si>
    <t>Ethernet</t>
  </si>
  <si>
    <t>TDM or SDH</t>
  </si>
  <si>
    <t>Note: please do not forget to complete the section "IP Addressing", more in particular "LAN Interface - Secondary Router" and "Virtual Interface".</t>
  </si>
  <si>
    <t>Wireless Back-up</t>
  </si>
  <si>
    <t>Dual CPE</t>
  </si>
  <si>
    <t>One CPE</t>
  </si>
  <si>
    <t>Including SIM</t>
  </si>
  <si>
    <t>Excluding SIM</t>
  </si>
  <si>
    <t>Note: customer needs to provide the mobile Wireless contract and activated SIM card to COLT</t>
  </si>
  <si>
    <t>Mobile provider chosen by customer:</t>
  </si>
  <si>
    <t>IP Addressing of the 3G connection</t>
  </si>
  <si>
    <t>Dynamic (NAT) IP Address</t>
  </si>
  <si>
    <t>Fixed IP Address</t>
  </si>
  <si>
    <t>Please provide the fixed IP address:</t>
  </si>
  <si>
    <t>3G SIM card details</t>
  </si>
  <si>
    <t>Note: the COLT engineer will coordinate with the person mentioned below for the hand-over of the SIM card from the customer to COLT.</t>
  </si>
  <si>
    <t>Contact details for the SIM card responsible:</t>
  </si>
  <si>
    <t>APN (Access Point Name)</t>
  </si>
  <si>
    <t>PIN SIM card</t>
  </si>
  <si>
    <t>Authentication method</t>
  </si>
  <si>
    <t>PAP</t>
  </si>
  <si>
    <t>CHAP</t>
  </si>
  <si>
    <t>Default User name</t>
  </si>
  <si>
    <t>Default Password</t>
  </si>
  <si>
    <t>Bandwidth of the backup path:</t>
  </si>
  <si>
    <t>Note: this impacts on the COLT Managed CPE router choice and pricing</t>
  </si>
  <si>
    <t>The 3G provider is chosen by the customer. The actual 3G bandwidth depends on the 3G provider, load of his network, location of the CPE router and can vary in time.</t>
  </si>
  <si>
    <t>&lt;= 512kbps</t>
  </si>
  <si>
    <t>(note: a more cost-efficient CPE can be deployed in this case, but the IPSec tunnel over the 3G backup will</t>
  </si>
  <si>
    <t>be limited to 256kbps)</t>
  </si>
  <si>
    <t>&gt;512kbps and &lt;=8M</t>
  </si>
  <si>
    <t>(note: a higher end and more costly CPE needs to be deployed in this case. The IPSec tunnel over</t>
  </si>
  <si>
    <t>the 3G backup will be limited to 8M)</t>
  </si>
  <si>
    <t>Filtering of traffic to be applied on the 3G wireless access path in case of backup?</t>
  </si>
  <si>
    <r>
      <t xml:space="preserve">Please filter </t>
    </r>
    <r>
      <rPr>
        <u/>
        <sz val="10"/>
        <rFont val="Arial"/>
        <family val="2"/>
        <charset val="1"/>
      </rPr>
      <t>out</t>
    </r>
    <r>
      <rPr>
        <sz val="10"/>
        <rFont val="Arial"/>
        <family val="2"/>
        <charset val="1"/>
      </rPr>
      <t xml:space="preserve"> the traffic that conforms to the following characteristics:</t>
    </r>
  </si>
  <si>
    <t>Traffic to be filtered out?</t>
  </si>
  <si>
    <t>SOURCE IP ADDRESS</t>
  </si>
  <si>
    <t>SOURCE NETMASK</t>
  </si>
  <si>
    <t>SOURCE PORT NUMBER</t>
  </si>
  <si>
    <t>DESTINATION IP ADDRESS</t>
  </si>
  <si>
    <t>DESTINATION NETMASK</t>
  </si>
  <si>
    <t>DESTINATION PORT NUMBER</t>
  </si>
  <si>
    <t>PROTOCOL NUMBER</t>
  </si>
  <si>
    <t>Filter out:</t>
  </si>
  <si>
    <t>Important note:</t>
  </si>
  <si>
    <t>The CPE Router needs to be installed at a position with good mobile data coverage for your chosen mobile operator, i.e. not in a closed IT room or rack!</t>
  </si>
  <si>
    <t>Acceptable signal strength for the antenna should be between -89dBm to -69dBm or better</t>
  </si>
  <si>
    <t>Back-up over the Public Internet</t>
  </si>
  <si>
    <t>Internet access provided by customer ("Partially inclusive solution")</t>
  </si>
  <si>
    <t>|</t>
  </si>
  <si>
    <t>(note: must be delivered on Ethernet port, must be transparant to IPSec)</t>
  </si>
  <si>
    <t>Internet Bandwidth:</t>
  </si>
  <si>
    <t>Note: IP Address of the Customer provided Internet must be a static, public IP@</t>
  </si>
  <si>
    <t>Please provide the IP address of the WAN interface of the COLT Managed CPE Router:</t>
  </si>
  <si>
    <t>Mask:</t>
  </si>
  <si>
    <t>Please provide the IP address of the default gateway:</t>
  </si>
  <si>
    <t>WAN Interface presented by the Internet Access circuit:</t>
  </si>
  <si>
    <t>10Mbps Ethernet</t>
  </si>
  <si>
    <t>100Mbps Ethernet</t>
  </si>
  <si>
    <t>E1 G703 / G704</t>
  </si>
  <si>
    <t>E3 G703</t>
  </si>
  <si>
    <t>Internet access provided by COLT ("Fully inclusive solution")</t>
  </si>
  <si>
    <t>PCN Reference of the Third party Internet:</t>
  </si>
  <si>
    <t>Note: Internal cabling is to be foreseen as standard by the customer. On an individual case basis COLT can investigate</t>
  </si>
  <si>
    <t>with its partners the provision of internal cabling. An extra charge will apply. The cabling has to be ordered at time of</t>
  </si>
  <si>
    <t>ordering the primary access circuit.</t>
  </si>
  <si>
    <t>COLT to provide internal cabling?</t>
  </si>
  <si>
    <t>estimated amount of metres of cabling:</t>
  </si>
  <si>
    <t>Type of backup:</t>
  </si>
  <si>
    <t>Primary and Backup (default)</t>
  </si>
  <si>
    <t>Filtering of traffic to be applied on the internet access in case of backup?</t>
  </si>
  <si>
    <t>Please filter out the traffic mentioned below in case of a backup solution (to protect the backup path that could be lower bandwidth):</t>
  </si>
  <si>
    <t>Features (Optional)</t>
  </si>
  <si>
    <t>DHCP</t>
  </si>
  <si>
    <t>IPv4 DHCP Relay</t>
  </si>
  <si>
    <t>Customer DHCP IPv4 Server Address</t>
  </si>
  <si>
    <t>DHCP Server</t>
  </si>
  <si>
    <t>DHCP Server IPv4 Address Range From</t>
  </si>
  <si>
    <t>DHCP Server IPv4 Address Range To</t>
  </si>
  <si>
    <t>IPv4 Addresses to be excluded</t>
  </si>
  <si>
    <t>WINS</t>
  </si>
  <si>
    <t>IPv4 Primary</t>
  </si>
  <si>
    <t>IPv4 Secondary</t>
  </si>
  <si>
    <t>DNS server</t>
  </si>
  <si>
    <t>Primary</t>
  </si>
  <si>
    <t>Secondary</t>
  </si>
  <si>
    <t>DNS Domain Name</t>
  </si>
  <si>
    <t>IPv6 DHCP Relay</t>
  </si>
  <si>
    <t>Customer DHCP IPv6 Server Address</t>
  </si>
  <si>
    <t>DHCP Server IPv6 Address Range From</t>
  </si>
  <si>
    <t>DHCP Server IPv6 Address Range To</t>
  </si>
  <si>
    <t>IP Addresses to be excluded</t>
  </si>
  <si>
    <t>IPv6 Primary</t>
  </si>
  <si>
    <t>IPv6 Secondary</t>
  </si>
  <si>
    <t>SNMP Read-Only Access</t>
  </si>
  <si>
    <t>SNMPv2</t>
  </si>
  <si>
    <t>IPv4 Addresses of customer management servers</t>
  </si>
  <si>
    <t>(SNMPv2, GET servers)</t>
  </si>
  <si>
    <t>SNMPv2 (GET) community string</t>
  </si>
  <si>
    <t>Want to receive TRAPS?</t>
  </si>
  <si>
    <t>Trap receiving host IP address</t>
  </si>
  <si>
    <t>Trap community string</t>
  </si>
  <si>
    <t>IPv6 Addresses of customer management servers</t>
  </si>
  <si>
    <t>Trap receiving host IPv6 address</t>
  </si>
  <si>
    <t>SNMPv3</t>
  </si>
  <si>
    <t>Authentication</t>
  </si>
  <si>
    <t>MD5</t>
  </si>
  <si>
    <t>SHA</t>
  </si>
  <si>
    <t>Privacy</t>
  </si>
  <si>
    <t>DES</t>
  </si>
  <si>
    <t>3DES</t>
  </si>
  <si>
    <t>AES128</t>
  </si>
  <si>
    <t>Username</t>
  </si>
  <si>
    <t>(the username is used in SNMP requests)</t>
  </si>
  <si>
    <t>Auth Password</t>
  </si>
  <si>
    <t>(Authentication Password)</t>
  </si>
  <si>
    <t>Priv Password</t>
  </si>
  <si>
    <t>(Privacy Password)</t>
  </si>
  <si>
    <t>IPv4 Addresses of customer SNMPv3 servers</t>
  </si>
  <si>
    <t>IPv6 Addresses of customer SNMPv3 servers</t>
  </si>
  <si>
    <t>Do you want to receive TRAPS?</t>
  </si>
  <si>
    <t>Trap receiving host IPv4 address</t>
  </si>
  <si>
    <t>IPv6 address</t>
  </si>
  <si>
    <t>Netflow</t>
  </si>
  <si>
    <t>Version 5 (IPv4 only)</t>
  </si>
  <si>
    <t>Version 9</t>
  </si>
  <si>
    <t>IP flow collector info</t>
  </si>
  <si>
    <t>IPv4 address</t>
  </si>
  <si>
    <t>Port number</t>
  </si>
  <si>
    <t>Read only CPE acces (bespoke)</t>
  </si>
  <si>
    <t>SSH</t>
  </si>
  <si>
    <t>Telnet</t>
  </si>
  <si>
    <t>Integrated Internet Access - CPE-based</t>
  </si>
  <si>
    <r>
      <t xml:space="preserve">Note: "Integrated Internet Access - </t>
    </r>
    <r>
      <rPr>
        <i/>
        <u/>
        <sz val="10"/>
        <color rgb="FF808080"/>
        <rFont val="Arial"/>
        <family val="2"/>
        <charset val="1"/>
      </rPr>
      <t>Network</t>
    </r>
    <r>
      <rPr>
        <i/>
        <sz val="10"/>
        <color rgb="FF808080"/>
        <rFont val="Arial"/>
        <family val="2"/>
        <charset val="1"/>
      </rPr>
      <t xml:space="preserve"> Based" has to be ordered at service level, not site level</t>
    </r>
  </si>
  <si>
    <t>Integrated Internet Access bandwidth</t>
  </si>
  <si>
    <t>Please note: if you have for example 4M IP VPN service bandwidth  (your input in the section at the top on this sheet)</t>
  </si>
  <si>
    <t>and 2M Integrated Internet Access - CPE based (just above), then a 6M access circuit bearer (like OLO) is required.</t>
  </si>
  <si>
    <t>Separate Ethernet port for Integrated Internet Access and IP VPN traffic?</t>
  </si>
  <si>
    <t>Default Route:</t>
  </si>
  <si>
    <t>Number of IPv4 Addresses required:</t>
  </si>
  <si>
    <t>Other</t>
  </si>
  <si>
    <t>Class C</t>
  </si>
  <si>
    <t>ß</t>
  </si>
  <si>
    <t>Mandatory! Please fill in the IP Request Form available:</t>
  </si>
  <si>
    <t>http://intranets/intranetUCM/groups/intranet/@division/documents/digitalasset/intranet_081479.doc</t>
  </si>
  <si>
    <t>Number of IPv6 Addresses required:</t>
  </si>
  <si>
    <r>
      <t xml:space="preserve">No </t>
    </r>
    <r>
      <rPr>
        <sz val="10"/>
        <color rgb="FFFF0000"/>
        <rFont val="Arial"/>
        <family val="2"/>
        <charset val="1"/>
      </rPr>
      <t>*not available for IPv6</t>
    </r>
  </si>
  <si>
    <t>(Dynamic) Routing protocol (between Customer LAN and COLT Managed CPE Router)</t>
  </si>
  <si>
    <t>OSPF</t>
  </si>
  <si>
    <t>Customer OSPF area</t>
  </si>
  <si>
    <t>Customer  Neighbour IP@ (IPv4):</t>
  </si>
  <si>
    <t>Customer  Neighbour IP@ (IPv6):</t>
  </si>
  <si>
    <t>MD5 encryption needed?</t>
  </si>
  <si>
    <t>no</t>
  </si>
  <si>
    <t>yes</t>
  </si>
  <si>
    <t>Password</t>
  </si>
  <si>
    <t>EIGRP</t>
  </si>
  <si>
    <t>Customer AS number:</t>
  </si>
  <si>
    <t>BGP</t>
  </si>
  <si>
    <t>Customer BGP Neighbour IP@ (IPv4):</t>
  </si>
  <si>
    <t>Customer BGP Neighbour IP@ (IPv6):</t>
  </si>
  <si>
    <t>BGP Communities needed?</t>
  </si>
  <si>
    <t>Static IPv4</t>
  </si>
  <si>
    <t>Please provide additional customer routes:</t>
  </si>
  <si>
    <t>Route 1</t>
  </si>
  <si>
    <t>Network</t>
  </si>
  <si>
    <t>Gateway</t>
  </si>
  <si>
    <t>(gateway)</t>
  </si>
  <si>
    <t>Route 2</t>
  </si>
  <si>
    <t>Route 3</t>
  </si>
  <si>
    <t>Route 4</t>
  </si>
  <si>
    <t>Route 5</t>
  </si>
  <si>
    <t>Static IPv6</t>
  </si>
  <si>
    <t>(default route)</t>
  </si>
  <si>
    <t>IPSec over MPLS</t>
  </si>
  <si>
    <t>Static NAT (only for IPv4)</t>
  </si>
  <si>
    <t>inside</t>
  </si>
  <si>
    <t>outside</t>
  </si>
  <si>
    <t>Local IP address</t>
  </si>
  <si>
    <t>Global IP address</t>
  </si>
  <si>
    <t>Multiple Ethernet Interface</t>
  </si>
  <si>
    <t>1 LAN port + 16 switched ports</t>
  </si>
  <si>
    <t>2 LAN ports + 16 switched ports</t>
  </si>
  <si>
    <t>Multiple VLAN termination</t>
  </si>
  <si>
    <t>VLAN ID</t>
  </si>
  <si>
    <t>IPv4 IP address</t>
  </si>
  <si>
    <t>subnet mask</t>
  </si>
  <si>
    <t>Ethernet Interface</t>
  </si>
  <si>
    <t>IPv6 IP address</t>
  </si>
  <si>
    <t>mask</t>
  </si>
  <si>
    <t>Multi-VPN needed at this site?</t>
  </si>
  <si>
    <t>Please choose how the Sub VPN should be segregated towards your LAN:</t>
  </si>
  <si>
    <t>Sub VPN are delivered on different VLANs on one physical LAN port (note: max number of sub VPNs is 10)</t>
  </si>
  <si>
    <t>Sub VPN are delivered on two physical Ethernet ports (note: max number of sub VPNs is 2)</t>
  </si>
  <si>
    <t>IP</t>
  </si>
  <si>
    <t>LAN IPv4</t>
  </si>
  <si>
    <t>VLAN ID or Ethernet Port</t>
  </si>
  <si>
    <t>Customer</t>
  </si>
  <si>
    <t>Participates in sub VPN:</t>
  </si>
  <si>
    <t>Bandwidth</t>
  </si>
  <si>
    <t>network</t>
  </si>
  <si>
    <t>Sub-VPN ID</t>
  </si>
  <si>
    <t>Alias</t>
  </si>
  <si>
    <t>per sub VPN</t>
  </si>
  <si>
    <t>Identifying the VLAN</t>
  </si>
  <si>
    <t>Escaux</t>
  </si>
  <si>
    <t>Yes / No</t>
  </si>
  <si>
    <t>LAN IPv6</t>
  </si>
  <si>
    <t>Class of Service (COS) required at this site?</t>
  </si>
  <si>
    <t>Please select the bandwidth allocation per class:</t>
  </si>
  <si>
    <t>Bandwidth Allocation in % 
of Service Bandwidth</t>
  </si>
  <si>
    <t>CoS Class</t>
  </si>
  <si>
    <t>Colt DSCP Marking
(codepoint name)</t>
  </si>
  <si>
    <t>1. Premium</t>
  </si>
  <si>
    <t>%</t>
  </si>
  <si>
    <t>note: max of 50%</t>
  </si>
  <si>
    <t>46 (EF)</t>
  </si>
  <si>
    <t>2. Business 1</t>
  </si>
  <si>
    <t>note: max of 80%</t>
  </si>
  <si>
    <t>26 (AF31)</t>
  </si>
  <si>
    <t>3. Business 2</t>
  </si>
  <si>
    <t>18 (AF21)</t>
  </si>
  <si>
    <t>4. Business 3</t>
  </si>
  <si>
    <t>10 (AF11)</t>
  </si>
  <si>
    <t>5. Standard</t>
  </si>
  <si>
    <t>note: min of 10%</t>
  </si>
  <si>
    <t>Total</t>
  </si>
  <si>
    <t>note: max total allocation is 95%</t>
  </si>
  <si>
    <t>Customer marked  DSCP (using Colt DSCP values)</t>
  </si>
  <si>
    <t>Colt marked</t>
  </si>
  <si>
    <t>Please provide the CoS Traffic Classification criteria:</t>
  </si>
  <si>
    <t>Note: Any traffic not explicitly classified is placed in the Standard class</t>
  </si>
  <si>
    <t>SOURCE IPv4 ADDRESS</t>
  </si>
  <si>
    <t>SOURCE IPv4 NETMASK</t>
  </si>
  <si>
    <t>DESTINATION IPv4 ADDRESS</t>
  </si>
  <si>
    <t>DESTINATION IPv4 NETMASK</t>
  </si>
  <si>
    <t>Source IPv6 Address</t>
  </si>
  <si>
    <t>Source IPv6 Netmask</t>
  </si>
  <si>
    <t>Source Port Number</t>
  </si>
  <si>
    <t>Destination IPv6 Address</t>
  </si>
  <si>
    <t>Destination IPv6 Netmask</t>
  </si>
  <si>
    <t>Destination Port Number</t>
  </si>
  <si>
    <t>Protocol Number</t>
  </si>
  <si>
    <t>Virtual Router function</t>
  </si>
  <si>
    <t>Colt can offer the routing function to the customer site in two ways:</t>
  </si>
  <si>
    <r>
      <t>Physical Router</t>
    </r>
    <r>
      <rPr>
        <i/>
        <sz val="10"/>
        <color rgb="FF808080"/>
        <rFont val="Arial"/>
        <family val="2"/>
        <charset val="1"/>
      </rPr>
      <t xml:space="preserve"> on customer site: Routing function delivered by a physical on-customer site Router appliance</t>
    </r>
  </si>
  <si>
    <r>
      <t>Virtual Router function</t>
    </r>
    <r>
      <rPr>
        <i/>
        <sz val="10"/>
        <color rgb="FF808080"/>
        <rFont val="Arial"/>
        <family val="2"/>
        <charset val="1"/>
      </rPr>
      <t>: Routing function delivered from within the Colt Network (no on-site Router appliance) known as well as “Virtual CPE”.</t>
    </r>
  </si>
  <si>
    <t>By default, if the requested functionalities allow it, Colt will deliver IP VPN Plus services using a Virtual Router approach.</t>
  </si>
  <si>
    <t>This delivers the most cost-effective solution for the customer.</t>
  </si>
  <si>
    <t>The customer has the possibility to over-rule this default deployment rule for this site below:</t>
  </si>
  <si>
    <t>Default</t>
  </si>
  <si>
    <r>
      <t>Virtual Router function</t>
    </r>
    <r>
      <rPr>
        <i/>
        <sz val="10"/>
        <rFont val="Arial"/>
        <family val="2"/>
        <charset val="1"/>
      </rPr>
      <t>: Routing function delivered from within the Colt Network (no on-site Router appliance)</t>
    </r>
  </si>
  <si>
    <r>
      <t>Physical Router</t>
    </r>
    <r>
      <rPr>
        <i/>
        <sz val="10"/>
        <rFont val="Arial"/>
        <family val="2"/>
        <charset val="1"/>
      </rPr>
      <t xml:space="preserve"> on </t>
    </r>
    <r>
      <rPr>
        <b/>
        <i/>
        <sz val="10"/>
        <rFont val="Arial"/>
        <family val="2"/>
        <charset val="1"/>
      </rPr>
      <t>this</t>
    </r>
    <r>
      <rPr>
        <i/>
        <sz val="10"/>
        <rFont val="Arial"/>
        <family val="2"/>
        <charset val="1"/>
      </rPr>
      <t xml:space="preserve"> customer site: Routing function delivered by a physical on-customer site Router appliance</t>
    </r>
  </si>
  <si>
    <r>
      <t xml:space="preserve">DCA site, </t>
    </r>
    <r>
      <rPr>
        <i/>
        <sz val="10"/>
        <rFont val="Arial"/>
        <family val="2"/>
        <charset val="1"/>
      </rPr>
      <t>no CPE will be installed</t>
    </r>
  </si>
  <si>
    <t>Applicable only if Application Aware Networking option is chosen at the Service level. Is an option available with IP VPN Plus only.</t>
  </si>
  <si>
    <t>Application Aware Networking</t>
  </si>
  <si>
    <t>Is an Application Aware hardware device required on this site? (installed between customer LAN and COLT Managed CPE Router)</t>
  </si>
  <si>
    <t>Please select one of both options:</t>
  </si>
  <si>
    <t>You have provided already ALL your LAN addresses in the section "IP Address" (line 134 above)  range</t>
  </si>
  <si>
    <t>Besides the LAN addresses provided by you in the section "IP Address" above (line 134 and further) you also have the below address ranges:</t>
  </si>
  <si>
    <t>Please provide all IP address ranges present on your LAN, so Colt can take this into account for the reporting on traffic flows:</t>
  </si>
  <si>
    <t>Is this site to be telemanaged? (no AAN CPE on-site, reduced functionality)</t>
  </si>
  <si>
    <t>COLT IP VPN Remote Fixed</t>
  </si>
  <si>
    <t>Internet Access circuit is:</t>
  </si>
  <si>
    <t>Provided and managed by the customer ("Partially Inclusive")</t>
  </si>
  <si>
    <t>Provided and managed by COLT from a third party operator ("Fully Inclusive")</t>
  </si>
  <si>
    <t>Please provide PCN number:</t>
  </si>
  <si>
    <t>Internet Access bandwidth:</t>
  </si>
  <si>
    <t>IPSec bandwidth required:</t>
  </si>
  <si>
    <t>64 kbps</t>
  </si>
  <si>
    <t>128 kbps</t>
  </si>
  <si>
    <t>256 kbps</t>
  </si>
  <si>
    <t>512 kbps</t>
  </si>
  <si>
    <t>1M</t>
  </si>
  <si>
    <t>1.5M</t>
  </si>
  <si>
    <t>3M</t>
  </si>
  <si>
    <t>4M</t>
  </si>
  <si>
    <t>5M</t>
  </si>
  <si>
    <t>6M</t>
  </si>
  <si>
    <t>7M</t>
  </si>
  <si>
    <t>8M</t>
  </si>
  <si>
    <t>In case of Partially Inclusive only:</t>
  </si>
  <si>
    <t>IP address range</t>
  </si>
  <si>
    <t>Please provide the IP address of the Gateway for the COLT Managed CPE Router:</t>
  </si>
  <si>
    <t>In case of Fully Inclusive only:</t>
  </si>
  <si>
    <t>Note: Internal cabling is to be foreseen as standard by the customer. However, on an individual case basis COLT can investigate</t>
  </si>
  <si>
    <t>ordering the service.</t>
  </si>
  <si>
    <t>metres</t>
  </si>
  <si>
    <t>Additional Comments</t>
  </si>
  <si>
    <t>Site Charges (specific to this site)</t>
  </si>
  <si>
    <t>Installation Charges</t>
  </si>
  <si>
    <t>Currency</t>
  </si>
  <si>
    <t>€</t>
  </si>
  <si>
    <t>Unless specifically mentioned in a legally 
binding contract, the OOH charges do apply
to every specific site when 
installed out of office on request 
of the customer</t>
  </si>
  <si>
    <t>Out of office hours installation</t>
  </si>
  <si>
    <t>Grand Total</t>
  </si>
  <si>
    <t>Recurring Charges</t>
  </si>
  <si>
    <t>/ month</t>
  </si>
  <si>
    <t>Site Nr =</t>
  </si>
  <si>
    <t>3rd Party Leased Line</t>
  </si>
  <si>
    <t>ULL DSL</t>
  </si>
  <si>
    <t>Fibre ULL</t>
  </si>
  <si>
    <t>wDSL</t>
  </si>
  <si>
    <t>3rd party packet service - MPLS NNI</t>
  </si>
  <si>
    <t>Wireless access</t>
  </si>
  <si>
    <t>IIA BW</t>
  </si>
  <si>
    <t>CPE</t>
  </si>
  <si>
    <t>NNI partners</t>
  </si>
  <si>
    <t>calculation value for the Pointer in C26</t>
  </si>
  <si>
    <t>Tariff Name:</t>
  </si>
  <si>
    <t>Included Bandwidth in MB</t>
  </si>
  <si>
    <t>Additional charges per MB</t>
  </si>
  <si>
    <t>AT</t>
  </si>
  <si>
    <t>64K</t>
  </si>
  <si>
    <t>Telstra</t>
  </si>
  <si>
    <t>AT_WAB_UBB_1750MB_Standard</t>
  </si>
  <si>
    <t>EUR</t>
  </si>
  <si>
    <t>128K</t>
  </si>
  <si>
    <t>XO</t>
  </si>
  <si>
    <t>BE_WAB_UBB_1750MB_Standard</t>
  </si>
  <si>
    <t>DK</t>
  </si>
  <si>
    <t>256K</t>
  </si>
  <si>
    <t>GTS Czech Republic</t>
  </si>
  <si>
    <t>GTS DSL y/n</t>
  </si>
  <si>
    <t>DK_WAB_UBB_1750MB_Standard</t>
  </si>
  <si>
    <t>DKK</t>
  </si>
  <si>
    <t>FR</t>
  </si>
  <si>
    <t>512K</t>
  </si>
  <si>
    <t>GTS Hungary</t>
  </si>
  <si>
    <t>FR_WAB_UBB_1750MB_Standard</t>
  </si>
  <si>
    <t>DE</t>
  </si>
  <si>
    <t>GTS Poland</t>
  </si>
  <si>
    <t>DE_WAB_UBB_1750MB_Standard</t>
  </si>
  <si>
    <t>IE</t>
  </si>
  <si>
    <t>GTS Slovakia</t>
  </si>
  <si>
    <t>IE_WAB_UBB_1750MB_Standard</t>
  </si>
  <si>
    <t>IT</t>
  </si>
  <si>
    <t>GTS Romania</t>
  </si>
  <si>
    <t>IT_WAB_UBB_1750MB_Standard</t>
  </si>
  <si>
    <t>NL</t>
  </si>
  <si>
    <t>GTS Other</t>
  </si>
  <si>
    <t>NL_WAB_UBB_1750MB_Standard</t>
  </si>
  <si>
    <t>PT</t>
  </si>
  <si>
    <t>9M</t>
  </si>
  <si>
    <t>CMC</t>
  </si>
  <si>
    <t>PT_WAB_UBB_1750MB_Standard</t>
  </si>
  <si>
    <t>ES</t>
  </si>
  <si>
    <t>10M</t>
  </si>
  <si>
    <t>CMC VSAT</t>
  </si>
  <si>
    <t>ES_WAB_UBB_1750MB_Standard</t>
  </si>
  <si>
    <t>SE</t>
  </si>
  <si>
    <t>12M</t>
  </si>
  <si>
    <t>IFX</t>
  </si>
  <si>
    <t>SE_WAB_UBB_1750MB_Standard</t>
  </si>
  <si>
    <t>SEK</t>
  </si>
  <si>
    <t>CH</t>
  </si>
  <si>
    <t>14M</t>
  </si>
  <si>
    <t>PCCW</t>
  </si>
  <si>
    <t>CH_WAB_UBB_1750MB_Standard</t>
  </si>
  <si>
    <t>CHF</t>
  </si>
  <si>
    <t>UK</t>
  </si>
  <si>
    <t>: test Fr&amp;CH is selected for Fibre ULL</t>
  </si>
  <si>
    <t>16M</t>
  </si>
  <si>
    <t>KVH</t>
  </si>
  <si>
    <t>UK_WAB_UBB_1750MB_Standard</t>
  </si>
  <si>
    <t>GBP</t>
  </si>
  <si>
    <t>18M</t>
  </si>
  <si>
    <t>LU</t>
  </si>
  <si>
    <t>if ULL</t>
  </si>
  <si>
    <t>DCA text</t>
  </si>
  <si>
    <t>if wDSL</t>
  </si>
  <si>
    <t>11M</t>
  </si>
  <si>
    <t>22M</t>
  </si>
  <si>
    <t>Service Key:</t>
  </si>
  <si>
    <t>CSP Port Reference/NNI identifier (Azure only)</t>
  </si>
  <si>
    <t>For MS Azure, the CSP port is allocated by Microsoft and is mapped to a NNI circuit reference.</t>
  </si>
  <si>
    <t>Please make sure the Network Service Provider Bandwidth is more or at least this speed</t>
  </si>
  <si>
    <t>Pointer =</t>
  </si>
  <si>
    <t>this is the pointer for the sheet back-bandwidths</t>
  </si>
  <si>
    <t>24M</t>
  </si>
  <si>
    <t>AWS Account reference:</t>
  </si>
  <si>
    <t>AWS Account ID (AWS Only)</t>
  </si>
  <si>
    <t>For Amazon Web Services, the Location is used by Colt to select an NNI with sufficient capacity and use for routing.</t>
  </si>
  <si>
    <t>Please make sure the Hosted Connection Bandwidth is more or at least this speed</t>
  </si>
  <si>
    <t>IF(C4=1,36,IF(C4=2,36,IF(C4=3,C25,IF(C4=4,C26,IF(C4=5,C26+S11,IF(C4=6,39,IF(F23=1,40)))))))</t>
  </si>
  <si>
    <t>13M</t>
  </si>
  <si>
    <t>26M</t>
  </si>
  <si>
    <t>tarrif</t>
  </si>
  <si>
    <t>28M</t>
  </si>
  <si>
    <t>currency</t>
  </si>
  <si>
    <t>INDEX('back-Bandwidths'!C4:AT4,1,$C$27)</t>
  </si>
  <si>
    <t>15M</t>
  </si>
  <si>
    <t>30M</t>
  </si>
  <si>
    <t>charge</t>
  </si>
  <si>
    <t>32M</t>
  </si>
  <si>
    <t>17M</t>
  </si>
  <si>
    <t>36M</t>
  </si>
  <si>
    <t>19M</t>
  </si>
  <si>
    <t>38M</t>
  </si>
  <si>
    <t>40M</t>
  </si>
  <si>
    <t>25M</t>
  </si>
  <si>
    <t>50M</t>
  </si>
  <si>
    <t>NNI identifier Azure</t>
  </si>
  <si>
    <t>60M</t>
  </si>
  <si>
    <t>70M</t>
  </si>
  <si>
    <t>vlookup outcome</t>
  </si>
  <si>
    <t>80M</t>
  </si>
  <si>
    <t>AMS/AMS/LE-172890</t>
  </si>
  <si>
    <t>Amsterdam Prim</t>
  </si>
  <si>
    <t>primary</t>
  </si>
  <si>
    <t>90M</t>
  </si>
  <si>
    <t>pointers</t>
  </si>
  <si>
    <t>AMS/AMS/LE-174359</t>
  </si>
  <si>
    <t>Amsterdam Sec</t>
  </si>
  <si>
    <t>sec</t>
  </si>
  <si>
    <t>100M</t>
  </si>
  <si>
    <t>sec pointer</t>
  </si>
  <si>
    <t>CES/CES/LE-173084</t>
  </si>
  <si>
    <t>London Prim</t>
  </si>
  <si>
    <t>110M</t>
  </si>
  <si>
    <t>CES/CES/LE-173085</t>
  </si>
  <si>
    <t>Lond Sec</t>
  </si>
  <si>
    <t>120M</t>
  </si>
  <si>
    <t>tbd</t>
  </si>
  <si>
    <t>130M</t>
  </si>
  <si>
    <t>140M</t>
  </si>
  <si>
    <t>150M</t>
  </si>
  <si>
    <t>200M</t>
  </si>
  <si>
    <t>300M</t>
  </si>
  <si>
    <t>400M</t>
  </si>
  <si>
    <t>500M</t>
  </si>
  <si>
    <t>600M</t>
  </si>
  <si>
    <t>700M</t>
  </si>
  <si>
    <t>800M</t>
  </si>
  <si>
    <t>900M</t>
  </si>
  <si>
    <t>NSP Bandwidth</t>
  </si>
  <si>
    <t>IP VPN</t>
  </si>
  <si>
    <t>EXP Bandwidth</t>
  </si>
  <si>
    <t>1000M</t>
  </si>
  <si>
    <t>IP VPN Bandwidth</t>
  </si>
  <si>
    <t>AWS connection</t>
  </si>
  <si>
    <t>Backup circuit</t>
  </si>
  <si>
    <t>detailed service bandwidth</t>
  </si>
  <si>
    <t>DSL Backup</t>
  </si>
  <si>
    <t>ULL</t>
  </si>
  <si>
    <t>country =</t>
  </si>
  <si>
    <t>Delivery Address - Service Country</t>
  </si>
  <si>
    <t>Row 53</t>
  </si>
  <si>
    <t>Row 86</t>
  </si>
  <si>
    <t>sdnjks hfvsd</t>
  </si>
  <si>
    <t>Row 88</t>
  </si>
  <si>
    <t>DSL Back-up Access Type</t>
  </si>
  <si>
    <t>Row 204</t>
  </si>
  <si>
    <t>Dual Access - Access Type</t>
  </si>
  <si>
    <t>Row 251</t>
  </si>
  <si>
    <t>Dual Access - Service Bandwidth</t>
  </si>
  <si>
    <t>Row 253</t>
  </si>
  <si>
    <t>Delivery Address Dual Access - Service Country</t>
  </si>
  <si>
    <t>Row 234</t>
  </si>
  <si>
    <t>Integrated Internet Access</t>
  </si>
  <si>
    <t>Row 444</t>
  </si>
  <si>
    <t>IF(Site!J88=back!Q10,1, IF(Site!J88=back!Q11,1, IF(Site!J88=back!Q17,1,27)))</t>
  </si>
  <si>
    <t>used in the past in H67</t>
  </si>
  <si>
    <t>IF(Site!J53=back!B20, 11, IF(Site!J53=back!B21,12, IF(Site!J53=back!B22,13, IF(Site!J53=back!B23,14, IF(Site!J53=back!B24, 15)))))</t>
  </si>
  <si>
    <t>IF(Site!J88=back!Q12,H67+1,IF(Site!J88=back!Q13,H67+2,IF(Site!J88=back!Q14,H67+3,IF(Site!J88=back!Q15,H67+4,IF(Site!J88=back!Q16,H67+5,IF(Site!J88=back!Q18,H67+6,IF(Site!J88=back!Q19,H67+7,IF(Site!J88=back!Q20,H67+8,0))))))))</t>
  </si>
  <si>
    <t>used in the past in H68</t>
  </si>
  <si>
    <t>Q10, 11, 17 = 1</t>
  </si>
  <si>
    <t>IF(H67=1,1,H68)</t>
  </si>
  <si>
    <t>used in B67</t>
  </si>
  <si>
    <t>Q12 = 28</t>
  </si>
  <si>
    <t>Q13=29</t>
  </si>
  <si>
    <t>Q14=30</t>
  </si>
  <si>
    <t>This is the Vlookup value of the table below and the pointer for the back-bandwitdhs sheet</t>
  </si>
  <si>
    <t>Q15=31</t>
  </si>
  <si>
    <t>Q16=32</t>
  </si>
  <si>
    <t>Q18=33</t>
  </si>
  <si>
    <t>Q19=34</t>
  </si>
  <si>
    <t>Q20=35</t>
  </si>
  <si>
    <t>Q21=36</t>
  </si>
  <si>
    <t>Q22=44</t>
  </si>
  <si>
    <t>Q10</t>
  </si>
  <si>
    <t>this is value of site!J88</t>
  </si>
  <si>
    <t>Q11</t>
  </si>
  <si>
    <t>Q12</t>
  </si>
  <si>
    <t>Q13</t>
  </si>
  <si>
    <t>incl/excl SIM</t>
  </si>
  <si>
    <t>Q14</t>
  </si>
  <si>
    <t>1 = incl, 2=excl</t>
  </si>
  <si>
    <t>Q15</t>
  </si>
  <si>
    <t>Q16</t>
  </si>
  <si>
    <t>Q17</t>
  </si>
  <si>
    <t>Q18</t>
  </si>
  <si>
    <t>Q19</t>
  </si>
  <si>
    <t>Q20</t>
  </si>
  <si>
    <t>Q21</t>
  </si>
  <si>
    <t>Q22</t>
  </si>
  <si>
    <t>ms-azure</t>
  </si>
  <si>
    <t>aws</t>
  </si>
  <si>
    <t>DCA_Cities</t>
  </si>
  <si>
    <t>Building</t>
  </si>
  <si>
    <t>city</t>
  </si>
  <si>
    <t>postcode</t>
  </si>
  <si>
    <t>cabinet</t>
  </si>
  <si>
    <t>county</t>
  </si>
  <si>
    <t>DCA partner</t>
  </si>
  <si>
    <t>Eircom Clonshaugh (Dublin)</t>
  </si>
  <si>
    <t>Clonshaugh Industrial Estate</t>
  </si>
  <si>
    <t>Dublin</t>
  </si>
  <si>
    <t>DUB 17</t>
  </si>
  <si>
    <t>IE_DUB-17_CLONSHAUGH ROAD_EIRCOM_1_DATAHALL 4</t>
  </si>
  <si>
    <t>TelecityGroup, London Docklands</t>
  </si>
  <si>
    <t>227 Marsh Wall</t>
  </si>
  <si>
    <t>Sovereign House</t>
  </si>
  <si>
    <t>London</t>
  </si>
  <si>
    <t>E14 9SD</t>
  </si>
  <si>
    <t>CAB_47/68/2Z59, UK_E14-9SD_MARSH WALL_227_2_TELECITY DATACENTRE</t>
  </si>
  <si>
    <t>Equinix, Frankfurt FR5</t>
  </si>
  <si>
    <t>Kleyerstraße 90, Frankfurt 60326</t>
  </si>
  <si>
    <t>Equinix FR5</t>
  </si>
  <si>
    <t>Frankfurt</t>
  </si>
  <si>
    <t>60326</t>
  </si>
  <si>
    <t>DE_60326_KLEYERSTRASSE_90_3.OG_3.10_CEA</t>
  </si>
  <si>
    <t>London Equinix LD5</t>
  </si>
  <si>
    <t>8 Buckingham Avenue, Slough Trading Estate,</t>
  </si>
  <si>
    <t>Microsoft Corporation (MC3), c/o Equinix LD5</t>
  </si>
  <si>
    <t>Slough Berkshire</t>
  </si>
  <si>
    <t>SL1 4AX</t>
  </si>
  <si>
    <t>UK_SL1-4AX_BUCKINGHAM AVENUE_8_1_0601:MC3</t>
  </si>
  <si>
    <t>Amsterdam Telecity 5</t>
  </si>
  <si>
    <t>Schepenbergweg 42</t>
  </si>
  <si>
    <t>Amsterdam AMS 5</t>
  </si>
  <si>
    <t>Amsterdam Zuidoost</t>
  </si>
  <si>
    <t>1105 AT</t>
  </si>
  <si>
    <t>NL_1105AT_SCHEPENBERGWEG_42_1_Z1A, Floor 1, room Z1A</t>
  </si>
  <si>
    <t>pointer=</t>
  </si>
  <si>
    <t>country</t>
  </si>
  <si>
    <t>Austria</t>
  </si>
  <si>
    <t>Belgium</t>
  </si>
  <si>
    <t>Denmark</t>
  </si>
  <si>
    <t>France</t>
  </si>
  <si>
    <t>Germany</t>
  </si>
  <si>
    <t>Ireland</t>
  </si>
  <si>
    <t>Italy</t>
  </si>
  <si>
    <t>Netherlands</t>
  </si>
  <si>
    <t>Portugal</t>
  </si>
  <si>
    <t>Spain</t>
  </si>
  <si>
    <t>Sweden</t>
  </si>
  <si>
    <t>Switzerland</t>
  </si>
  <si>
    <t>Great Britain / UK</t>
  </si>
  <si>
    <t>GTS NNI</t>
  </si>
  <si>
    <t>Number of Copper Pairs</t>
  </si>
  <si>
    <t>Belgacom Customer Number</t>
  </si>
  <si>
    <t>Use Existing Customer Line?</t>
  </si>
  <si>
    <t>Eligibility Test Completed *</t>
  </si>
  <si>
    <t>COLT HVT Number</t>
  </si>
  <si>
    <t>PTT Central Office Reference</t>
  </si>
  <si>
    <t>Telecom Italia Node Collocation Point</t>
  </si>
  <si>
    <t>PTA IVA Number</t>
  </si>
  <si>
    <t>ISRA Number</t>
  </si>
  <si>
    <t>Codigo MIGA</t>
  </si>
  <si>
    <t>DSL POP</t>
  </si>
  <si>
    <t>Subscriber reference number</t>
  </si>
  <si>
    <t>If (Use Existing Customer Line = Yes) choose:</t>
  </si>
  <si>
    <t>Number of Copper Pairs *</t>
  </si>
  <si>
    <t>DSL provider *</t>
  </si>
  <si>
    <t>Existing Line Type (ADSL, ADSL over POTS, ADSL over ISDN, SHDSL)</t>
  </si>
  <si>
    <t>Vacant ULL Available</t>
  </si>
  <si>
    <t>line owner</t>
  </si>
  <si>
    <t>ADSL / ADSLonPOTS / ADSLonISDN / SHDSL</t>
  </si>
  <si>
    <t>Use Existing Customer Line *</t>
  </si>
  <si>
    <t>SIRET Number *</t>
  </si>
  <si>
    <t>Please attach Eligibility report file</t>
  </si>
  <si>
    <t>Existing Phone Number</t>
  </si>
  <si>
    <t>BE1</t>
  </si>
  <si>
    <t>FR1</t>
  </si>
  <si>
    <t>FR2</t>
  </si>
  <si>
    <t>DE1</t>
  </si>
  <si>
    <t>DE2</t>
  </si>
  <si>
    <t>DE3</t>
  </si>
  <si>
    <t>NL1</t>
  </si>
  <si>
    <t>NL2</t>
  </si>
  <si>
    <t>IT1</t>
  </si>
  <si>
    <t>IT2</t>
  </si>
  <si>
    <t>ES1</t>
  </si>
  <si>
    <t>ES2</t>
  </si>
  <si>
    <t>CH1</t>
  </si>
  <si>
    <t>UK1</t>
  </si>
  <si>
    <t>UK2</t>
  </si>
  <si>
    <t>UK3</t>
  </si>
  <si>
    <t>DK1</t>
  </si>
  <si>
    <t>PT1</t>
  </si>
  <si>
    <t>COLT Telecom NV/SA</t>
  </si>
  <si>
    <t>COLT Telecom SA</t>
  </si>
  <si>
    <t>COLT Telecom GmbH</t>
  </si>
  <si>
    <t>COLT Telecom BV</t>
  </si>
  <si>
    <t>COLT Telecom SpA</t>
  </si>
  <si>
    <t>COLT Telecom España SAU</t>
  </si>
  <si>
    <t>COLT Telecom AG</t>
  </si>
  <si>
    <t>COLT Telecom</t>
  </si>
  <si>
    <t>COLT Telecom A/S</t>
  </si>
  <si>
    <t>COLT Telecom Portugal</t>
  </si>
  <si>
    <t>Nossegem 1930</t>
  </si>
  <si>
    <t>63 Boulevard Bessieres</t>
  </si>
  <si>
    <t>Zone d'activités de Courtaboeuf</t>
  </si>
  <si>
    <t>Hanauer Landstrasse. 326</t>
  </si>
  <si>
    <t>Wiebestrasse 46</t>
  </si>
  <si>
    <t>Obenhauptstr. 1c</t>
  </si>
  <si>
    <t>Van der Madeweg 12-14a</t>
  </si>
  <si>
    <t>Luchtvaartstraat 2b-c</t>
  </si>
  <si>
    <t>Via Lancetti 23</t>
  </si>
  <si>
    <t>Via Livorno 60</t>
  </si>
  <si>
    <t>Avinida Monoteras 42</t>
  </si>
  <si>
    <t>ACER 5-9</t>
  </si>
  <si>
    <t>Badenerstrasse 820</t>
  </si>
  <si>
    <t>Units 3,5 and 9 Princes Court</t>
  </si>
  <si>
    <t>Unit 9-13, Powergate Business Centre</t>
  </si>
  <si>
    <t>Black Fan Road</t>
  </si>
  <si>
    <t>Borgmester Christiansens Gade 55</t>
  </si>
  <si>
    <t>Estrada da Outurela 118 Edificio B</t>
  </si>
  <si>
    <t>Mercuriusstraat 30</t>
  </si>
  <si>
    <t>-</t>
  </si>
  <si>
    <t>15, Rue du Cap Horn</t>
  </si>
  <si>
    <t>POSTBUS 94014</t>
  </si>
  <si>
    <t>Calle 3</t>
  </si>
  <si>
    <t>Wapping Lane</t>
  </si>
  <si>
    <t>Volt Avenue, Park Royal</t>
  </si>
  <si>
    <t>Carnaxide</t>
  </si>
  <si>
    <t>D-60314</t>
  </si>
  <si>
    <t>D-10533</t>
  </si>
  <si>
    <t>1090GA</t>
  </si>
  <si>
    <t>1059 CA</t>
  </si>
  <si>
    <t>08038</t>
  </si>
  <si>
    <t>08048</t>
  </si>
  <si>
    <t>E1W 2DA</t>
  </si>
  <si>
    <t>NW10 6PN</t>
  </si>
  <si>
    <t>AL7 1QA</t>
  </si>
  <si>
    <t>2790-114</t>
  </si>
  <si>
    <t>Brussels</t>
  </si>
  <si>
    <t>Paris</t>
  </si>
  <si>
    <t>Les Ulis</t>
  </si>
  <si>
    <t>Frankfurt / Main</t>
  </si>
  <si>
    <t>Berlin</t>
  </si>
  <si>
    <t>Hamburg</t>
  </si>
  <si>
    <t>Amsterdam</t>
  </si>
  <si>
    <t>AMSTERDAM</t>
  </si>
  <si>
    <t>Milan</t>
  </si>
  <si>
    <t>Turin</t>
  </si>
  <si>
    <t>Madrid</t>
  </si>
  <si>
    <t>Barcelona</t>
  </si>
  <si>
    <t>Zurich</t>
  </si>
  <si>
    <t>Welwyn Garden City</t>
  </si>
  <si>
    <t>Copenhagen</t>
  </si>
  <si>
    <t>Lisbon</t>
  </si>
  <si>
    <t>The Netherlands</t>
  </si>
  <si>
    <t>MPLS</t>
  </si>
  <si>
    <t>NNI</t>
  </si>
  <si>
    <t>Fiber</t>
  </si>
  <si>
    <t>FTTH</t>
  </si>
  <si>
    <t>MS</t>
  </si>
  <si>
    <t>Amazon</t>
  </si>
  <si>
    <t>not defined</t>
  </si>
  <si>
    <t>GTS Czech</t>
  </si>
  <si>
    <t>All</t>
  </si>
  <si>
    <t>UK old</t>
  </si>
  <si>
    <t>Wireless</t>
  </si>
  <si>
    <t>Azure</t>
  </si>
  <si>
    <t>Web Services</t>
  </si>
  <si>
    <t>256kbps (COLT ETHERNET E.SHDSL - Premium SLA)</t>
  </si>
  <si>
    <t>2 x 1Mbps (COLT TDM SHDSL - Premium SLA)</t>
  </si>
  <si>
    <t>n/a</t>
  </si>
  <si>
    <t>1M/1M 5:1 (Telecom Austria L2TP SHDSL - Business SLA)</t>
  </si>
  <si>
    <t>2M/2M 1:1 (Belgacom ETHERNET VDSL2 Premium SLA)</t>
  </si>
  <si>
    <t>1M/1M 1:1  (Orange ATM DSLE Premium SLA)</t>
  </si>
  <si>
    <t>2M/384K 4:1 (DTAG L2TP ADSL - Standard  SLA)</t>
  </si>
  <si>
    <t>1.6M/1.6M 1.6:1 (Telecom Italia ATM SHDSL - Business SLA)</t>
  </si>
  <si>
    <t>1M/1M 1:1 (BBNED ATM SHDSL - Business SLA)</t>
  </si>
  <si>
    <t>1M/512k 10:1 (Portugal Telecom L2TP ADSL - Standard SLA)</t>
  </si>
  <si>
    <t>1M/1M 2:1 (Telefonica ATM ADSL - Standard SLA)</t>
  </si>
  <si>
    <t>2M/2M 1:1 (Swisscom L2TP VDSL - Business SLA)</t>
  </si>
  <si>
    <t>8M/800k (British Telecom L2TP ADSL - Standard SLA)</t>
  </si>
  <si>
    <t>256K/256K 1:1 (British Telecom ATM ADSL - Business SLA)</t>
  </si>
  <si>
    <t>512kbps (COLT ETHERNET E.SHDSL - Premium SLA)</t>
  </si>
  <si>
    <t>3 x 1Mbps (COLT TDM SHDSL - Premium SLA)</t>
  </si>
  <si>
    <t>2M/2M 5:1 (Telecom Austria L2TP SHDSL - Business SLA)</t>
  </si>
  <si>
    <t>4M/4M 1:1 (Belgacom ETHERNET VDSL2 Premium SLA)</t>
  </si>
  <si>
    <t>1M/1M 8:1  (Orange ATM DSLE Premium SLA)</t>
  </si>
  <si>
    <t>6M/512K 4:1 (DTAG L2TP ADSL - Standard  SLA)</t>
  </si>
  <si>
    <t>2 x 1.6M/1.6M 1.6:1 (Telecom Italia ATM SHDSL - Business SLA)</t>
  </si>
  <si>
    <t>2M/2M 1:1 (BBNED ATM SHDSL - Business SLA)</t>
  </si>
  <si>
    <t>2M/1M 20:1 (Portugal Telecom L2TP ADSL - Standard SLA)</t>
  </si>
  <si>
    <t>2 x 1M/1M 2:1 (Telefonica ATM ADSL - Standard SLA)</t>
  </si>
  <si>
    <t>4M/4M 1:1 (Swisscom L2TP VDSL - Business SLA)</t>
  </si>
  <si>
    <t>20M/800k (British Telecom L2TP ADSL - Standard SLA)</t>
  </si>
  <si>
    <t>1M/256K 1:1 (British Telecom ATM ADSL - Business SLA)</t>
  </si>
  <si>
    <t>1Mbps (COLT ETHERNET E.SHDSL - Premium SLA)</t>
  </si>
  <si>
    <t>4 x 1Mbps (COLT TDM SHDSL - Premium SLA)</t>
  </si>
  <si>
    <t>4M/4M 5:1 (Telecom Austria L2TP SHDSL - Business SLA)</t>
  </si>
  <si>
    <t>6M/6M 1:1 (Belgacom ETHERNET VDSL2 Premium SLA)</t>
  </si>
  <si>
    <t>2M/2M 1:1  (Orange ATM DSLE Premium SLA)</t>
  </si>
  <si>
    <t>2M/2M 4:1 (DTAG L2TP SHDSL - Standard  SLA)</t>
  </si>
  <si>
    <t>3 x 1.6M/1.6M 1.6:1 (Telecom Italia ATM SHDSL - Business SLA)</t>
  </si>
  <si>
    <t>1M/1M 10:1 (BBNED ATM SHDSL - Business SLA)</t>
  </si>
  <si>
    <t>4M/1M 20:1 (Portugal Telecom L2TP ADSL - Standard SLA)</t>
  </si>
  <si>
    <t>3 x 1M/1M 2:1 (Telefonica ATM ADSL - Standard SLA)</t>
  </si>
  <si>
    <t>6M/6M 1:1 (Swisscom L2TP VDSL - Business SLA)</t>
  </si>
  <si>
    <t>20M/2,5M (British Telecom L2TP ADSL - Standard SLA)</t>
  </si>
  <si>
    <t>2M/256K 1:1 (British Telecom ATM ADSL - Business SLA)</t>
  </si>
  <si>
    <t>2Mbps (COLT ETHERNET E.SHDSL - Premium SLA)</t>
  </si>
  <si>
    <t>2 x 2Mbps (COLT TDM SHDSL - Premium SLA)</t>
  </si>
  <si>
    <t>8M/8M 5:1 (Telecom Austria L2TP SHDSL - Business SLA)</t>
  </si>
  <si>
    <t>8M/8M 1:1 (Belgacom ETHERNET VDSL2 Premium SLA)</t>
  </si>
  <si>
    <t>2M/2M 4:1  (Orange ATM DSLE Premium SLA)</t>
  </si>
  <si>
    <t>2M/2M 2:1 (QSC L2TP SHDSL - Premium SLA)</t>
  </si>
  <si>
    <t>4 x 1.6M/1.6M 1.6:1 (Telecom Italia ATM SHDSL - Business SLA)</t>
  </si>
  <si>
    <t>2M/2M 10:1 (BBNED ATM SHDSL - Business SLA)</t>
  </si>
  <si>
    <t>8M/1M 20:1 (Portugal Telecom L2TP ADSL - Standard SLA)</t>
  </si>
  <si>
    <t>4 x 1M/1M 2:1 (Telefonica ATM ADSL - Standard SLA)</t>
  </si>
  <si>
    <t>8M/8M 1:1 (Swisscom L2TP VDSL - Business SLA)</t>
  </si>
  <si>
    <t>512K/512K 1:1  (British Telecom ATM SHDSL - Business SLA)</t>
  </si>
  <si>
    <t>3Mbps (COLT ETHERNET E.SHDSL - Premium SLA)</t>
  </si>
  <si>
    <t>3 x 2Mbps (COLT TDM SHDSL - Premium SLA)</t>
  </si>
  <si>
    <t>12M/12M 5:1 (Telecom Austria L2TP SHDSL - Business SLA)</t>
  </si>
  <si>
    <t>10M/10M 1:1 (Belgacom ETHERNET VDSL2 Premium SLA)</t>
  </si>
  <si>
    <t>2M/2M 8:1  (Orange ATM DSLE Premium SLA)</t>
  </si>
  <si>
    <t>4M/4M 2:1 (QSC L2TP SHDSL - Premium SLA)</t>
  </si>
  <si>
    <t>1280K/512K 10:1 (Telecom Italia ATM ADSL - Standard SLA)</t>
  </si>
  <si>
    <t>2 x 1M/1M 1:1 (BBNED ATM SHDSL - Business SLA)</t>
  </si>
  <si>
    <t>1M/1M 10:1 (Portugal Telecom L2TP ADSL - Standard SLA)</t>
  </si>
  <si>
    <t>1M/1M 2:1 (Telefonica L2TP ADSL - Standard SLA)</t>
  </si>
  <si>
    <t>10M/10M 1:1 (Swisscom L2TP VDSL - Business SLA)</t>
  </si>
  <si>
    <t>1M/1M 1:1  (British Telecom ATM SHDSL - Business SLA)</t>
  </si>
  <si>
    <t>4Mbps (COLT ETHERNET E.SHDSL - Premium SLA)</t>
  </si>
  <si>
    <t>4 x 2Mbps (COLT TDM SHDSL - Premium SLA)</t>
  </si>
  <si>
    <t>1M/1M 5:1 (Tele2uta L2TP SHDSL - Premium SLA)</t>
  </si>
  <si>
    <t>4M/4M 1:1 (Orange ATM DSLE Premium SLA)</t>
  </si>
  <si>
    <t>6M/6M 2:1 (QSC L2TP SHDSL - Premium SLA)</t>
  </si>
  <si>
    <t>2M/512K 8:1 (Telecom Italia ATM ADSL - Standard SLA)</t>
  </si>
  <si>
    <t>3 x 1M/1M 1:1 (BBNED ATM SHDSL - Business SLA)</t>
  </si>
  <si>
    <t>2M/2M 10:1 (Portugal Telecom L2TP ADSL - Standard SLA)</t>
  </si>
  <si>
    <t>1M/320K (Orange L2TP ADSL - Standard SLA)</t>
  </si>
  <si>
    <t>2M/2M 1:1  (British Telecom ATM SHDSL - Business SLA)</t>
  </si>
  <si>
    <t>5Mbps (COLT ETHERNET E.SHDSL - Premium SLA)</t>
  </si>
  <si>
    <t>2M/2M 5:1 (Tele2uta L2TP SHDSL - Premium SLA)</t>
  </si>
  <si>
    <t>4M/4M 2:1 (Orange ATM DSLE Premium SLA)</t>
  </si>
  <si>
    <t>8M/8M 2:1 (QSC L2TP SHDSL - Premium SLA)</t>
  </si>
  <si>
    <t>4M/512K 8:1 (Telecom Italia ATM ADSL - Standard SLA)</t>
  </si>
  <si>
    <t>4 x 1M/1M 1:1 (BBNED ATM SHDSL - Business SLA)</t>
  </si>
  <si>
    <t>1M/320K (Telefonica ATM ADSL - Standard SLA)</t>
  </si>
  <si>
    <t>2 x 1M/1M 1:1  (British Telecom ATM SHDSL - Business SLA)</t>
  </si>
  <si>
    <t>6Mbps (COLT ETHERNET E.SHDSL - Premium SLA)</t>
  </si>
  <si>
    <t>4M/4M 5 :1 (Tele2uta L2TP SHDSL - Premium SLA)</t>
  </si>
  <si>
    <t>4M/4M 4:1 (Orange ATM DSLE Premium SLA)</t>
  </si>
  <si>
    <t>10M/10M 2:1 (QSC L2TP SHDSL - Premium SLA)</t>
  </si>
  <si>
    <t>1.5M/1.5M 1.25:1 (Telecom Italia ATM SHDSL - Business SLA)</t>
  </si>
  <si>
    <t>2 x 2M/2M 1:1 (BBNED ATM SHDSL - Business SLA)</t>
  </si>
  <si>
    <t>1M/320K 10:1 (Telefonica ATM ADSL - Business SLA)</t>
  </si>
  <si>
    <t>3 x 1M/1M 1:1  (British Telecom ATM SHDSL - Business SLA)</t>
  </si>
  <si>
    <t>1G</t>
  </si>
  <si>
    <t>7Mbps (COLT ETHERNET E.SHDSL - Premium SLA)</t>
  </si>
  <si>
    <t>8M/8M 1:1 (Orange ATM DSLE Premium SLA)</t>
  </si>
  <si>
    <t>15M/15M 2:1 (QSC L2TP SHDSL - Premium SLA)</t>
  </si>
  <si>
    <t>2M/2M 1.25:1 (Telecom Italia ATM SHDSL - Business SLA)</t>
  </si>
  <si>
    <t>3 x 2M/2M 1:1 (BBNED ATM SHDSL - Business SLA)</t>
  </si>
  <si>
    <t>1M/320K 10:1 (Telefonica L2TP ADSL - Business SLA)</t>
  </si>
  <si>
    <t>4 x 1M/1M 1:1  (British Telecom ATM SHDSL - Business SLA)</t>
  </si>
  <si>
    <t>8Mbps (COLT ETHERNET E.SHDSL - Premium SLA)</t>
  </si>
  <si>
    <t>8M/8M 4:1 (Orange ATM DSLE Premium SLA)</t>
  </si>
  <si>
    <t>20M/20M 2:1 (QSC L2TP SHDSL - Premium SLA)</t>
  </si>
  <si>
    <t>2 x 2M/2M 1.25:1 (Telecom Italia ATM SHDSL - Business SLA)</t>
  </si>
  <si>
    <t>4 x 2M/2M 1:1 (BBNED ATM SHDSL - Business SLA)</t>
  </si>
  <si>
    <t>2M/320K 10:1 (Orange L2TP ADSL - Business SLA)</t>
  </si>
  <si>
    <t>2 x 2M/2M 1:1  (British Telecom ATM SHDSL - Business SLA)</t>
  </si>
  <si>
    <t>9Mbps (COLT ETHERNET E.SHDSL - Premium SLA)</t>
  </si>
  <si>
    <t>1M/1M 1:1  (Orange Ethernet CELAN Copper Premium SLA)</t>
  </si>
  <si>
    <t>2M/2M  (Telefonica L2TP SHDSL - Premium SLA)</t>
  </si>
  <si>
    <t>3 x 2M/2M 1.25:1 (Telecom Italia ATM SHDSL - Business SLA)</t>
  </si>
  <si>
    <t>1Mbps/1Mbps 1:1 (Tele2 Ethernet DSL ADSL2+  -  Premium SLA)</t>
  </si>
  <si>
    <t>2M/320K 10:1 (Telefonica ATM ADSL - Business SLA)</t>
  </si>
  <si>
    <t>3 x 2M/2M 1:1  (British Telecom ATM SHDSL - Business SLA)</t>
  </si>
  <si>
    <t>10Mbps (COLT ETHERNET E.SHDSL - Premium SLA)</t>
  </si>
  <si>
    <t>2M/2M 1:1  (Orange Ethernet CELAN Copper Premium SLA)</t>
  </si>
  <si>
    <t>4 x 2M/2M 1.25:1 (Telecom Italia ATM SHDSL - Business SLA)</t>
  </si>
  <si>
    <t>2Mbps/2Mbps 1:1 (Tele2 Ethernet DSL ADSL2+  -  Premium SLA)</t>
  </si>
  <si>
    <t>2M/320K 10:1 (Telefonica L2TP ADSL - Business SLA)</t>
  </si>
  <si>
    <t>4 x 2M/2M 1:1  (British Telecom ATM SHDSL - Business SLA)</t>
  </si>
  <si>
    <t>12Mbps (COLT ETHERNET E.SHDSL - Premium SLA)</t>
  </si>
  <si>
    <t>4M/4M 1:1 (Orange Ethernet CELAN Copper Premium SLA)</t>
  </si>
  <si>
    <t>2M/2M 1:1 (Telecom Italia SDSL Bitstream Ethernet - Business SLA)</t>
  </si>
  <si>
    <t>1Mbps/512kbps 1:1 (Tele2 Ethernet DSL ADSL2+  -  Premium SLA)</t>
  </si>
  <si>
    <t>2M/640K 2:1 (Orange L2TP ADSL - Business SLA)</t>
  </si>
  <si>
    <t>14Mbps (COLT ETHERNET E.SHDSL - Premium SLA)</t>
  </si>
  <si>
    <t>13Mbps (COLT ETHERNET E.SHDSL - Premium SLA)</t>
  </si>
  <si>
    <t>8M/8M 1:1 (Orange Ethernet CELAN Copper Premium SLA)</t>
  </si>
  <si>
    <t>4M/4M 1:1 (Telecom Italia SDSL Bitstream Ethernet - Business SLA)</t>
  </si>
  <si>
    <t>2Mbps/512kbps 1:1 (Tele2 Ethernet DSL ADSL2+  -  Premium SLA)</t>
  </si>
  <si>
    <t>2M/640K 2:1 (Telefonica ATM ADSL - Business SLA)</t>
  </si>
  <si>
    <t>16Mbps (COLT ETHERNET E.SHDSL - Premium SLA)</t>
  </si>
  <si>
    <t>12M/12M 1:1 (Orange Ethernet CELAN Copper Premium SLA)</t>
  </si>
  <si>
    <t>6M/6M 1:1 (Telecom Italia SDSL Bitstream Ethernet - Business SLA)</t>
  </si>
  <si>
    <t>4Mbps/512kbps 1:1 (Tele2 Ethernet DSL ADSL2+  -  Premium SLA)</t>
  </si>
  <si>
    <t>2M/640K 2:1 (Telefonica L2TP ADSL - Business SLA)</t>
  </si>
  <si>
    <t>18Mbps (COLT ETHERNET E.SHDSL - Premium SLA)</t>
  </si>
  <si>
    <t>15Mbps (COLT ETHERNET E.SHDSL - Premium SLA)</t>
  </si>
  <si>
    <t>16M/16M 1:1 (Orange Ethernet CELAN Copper Premium SLA)</t>
  </si>
  <si>
    <t>8M/8M 1:1 (Telecom Italia SDSL Bitstream Ethernet - Business SLA)</t>
  </si>
  <si>
    <t>8Mbps/512kbps 1:1 (Tele2 Ethernet DSL ADSL2+  -  Premium SLA)</t>
  </si>
  <si>
    <t>3M/320K (Orange L2TP ADSL - Standard SLA)</t>
  </si>
  <si>
    <t>20Mbps (COLT ETHERNET E.SHDSL - Premium SLA)</t>
  </si>
  <si>
    <t>1M/1M 1:1  (SFR L2TP Reflex Premium SLA)</t>
  </si>
  <si>
    <t>20M/1M 25:1 (Telecom Italia ADSL 2+ Bitstream Ethernet - Standard SLA)</t>
  </si>
  <si>
    <t>2Mbps/1Mbps 1:1 (Tele2 Ethernet DSL ADSL2+  -  Premium SLA)</t>
  </si>
  <si>
    <t>3M/320K (Telefonica ATM ADSL - Standard SLA)</t>
  </si>
  <si>
    <t>25Mbps (COLT ETHERNET E.SHDSL - Premium SLA)</t>
  </si>
  <si>
    <t>2M/2M 1:1  (SFR L2TP Reflex Premium SLA)</t>
  </si>
  <si>
    <t>4M/512K 8:1 (Telecom Italia ADSL 2+ Bitstream Ethernet - Standard SLA)</t>
  </si>
  <si>
    <t>4Mbps/1Mbps 1:1 (Tele2 Ethernet DSL ADSL2+  -  Premium SLA)</t>
  </si>
  <si>
    <t>4M/512K 10:1 (Telefonica ATM ADSL - Business SLA)</t>
  </si>
  <si>
    <t>30Mbps (COLT ETHERNET E.SHDSL - Premium SLA)</t>
  </si>
  <si>
    <t>4M/4M 1:1 (SFR L2TP Reflex Premium SLA)</t>
  </si>
  <si>
    <t>2M/512K 8:1 (Telecom Italia ADSL 2+ Bitstream Ethernet - Standard SLA)</t>
  </si>
  <si>
    <t>8Mbps/1Mbps 1:1 (Tele2 Ethernet DSL ADSL2+  -  Premium SLA)</t>
  </si>
  <si>
    <t>4M/512K 10:1 (Telefonica L2TP ADSL - Business SLA)</t>
  </si>
  <si>
    <t>34Mbps (COLT ETHERNET E.SHDSL - Premium SLA)</t>
  </si>
  <si>
    <t>6M/6M 1:1 (SFR L2TP Reflex Premium SLA)</t>
  </si>
  <si>
    <t>1.280M/512K 10:1 (Telecom Italia ADSL 2+ Bitstream Ethernet - Standard SLA)</t>
  </si>
  <si>
    <t>12Mbps/1Mbps 1:1 (Tele2 Ethernet DSL ADSL2+  -  Premium SLA)</t>
  </si>
  <si>
    <t>4M/640K 2:1 (Orange L2TP ADSL - Business SLA)</t>
  </si>
  <si>
    <t>40Mbps (COLT ETHERNET E.SHDSL - Premium SLA)</t>
  </si>
  <si>
    <t>8M/8M 1:1 (SFR L2TP Reflex Premium SLA)</t>
  </si>
  <si>
    <t>2M/2M 1:1 (Fastweb, Ethernet)</t>
  </si>
  <si>
    <t>4Mbps/2Mbps 1:1 (Tele2 Ethernet DSL ADSL2+  -  Premium SLA)</t>
  </si>
  <si>
    <t>4M/640K 2:1 (Telefonica ATM ADSL - Business SLA)</t>
  </si>
  <si>
    <t>10M/10M 1:1 (SFR L2TP Reflex Premium SLA)</t>
  </si>
  <si>
    <t>4M/4M 1:1 (Fastweb, Ethernet)</t>
  </si>
  <si>
    <t>8Mbps/2Mbps 1:1 (Tele2 Ethernet DSL ADSL2+  -  Premium SLA)</t>
  </si>
  <si>
    <t>4M/640K 2:1 (Telefonica L2TP ADSL - Business SLA)</t>
  </si>
  <si>
    <t>8M/8M 1:1 (Fastweb, Ethernet)</t>
  </si>
  <si>
    <t>12Mbps/2Mbps 1:1 (Tele2 Ethernet DSL ADSL2+  -  Premium SLA)</t>
  </si>
  <si>
    <t>6M/512K (Orange L2TP ADSL - Standard SLA)</t>
  </si>
  <si>
    <t>10M/10M 1:1 (Fastweb, Ethernet)</t>
  </si>
  <si>
    <t>1Mbps / 1Mbps 1:1 (Tele2 Ethernet DSL VDSL2  -  Premium SLA)</t>
  </si>
  <si>
    <t>8M/640K 10:1 (Orange L2TP ADSL - Business SLA)</t>
  </si>
  <si>
    <t>2Mbps / 2Mbps 1:1 (Tele2 Ethernet DSL VDSL2  -  Premium SLA)</t>
  </si>
  <si>
    <t>8M/640K 10:1 (Telefonica ATM ADSL - Business SLA)</t>
  </si>
  <si>
    <t>3Mbps / 3Mbps 1:1 (Tele2 Ethernet DSL VDSL2  -  Premium SLA)</t>
  </si>
  <si>
    <t>8M/640K 10:1 (Telefonica L2TP ADSL - Business SLA)</t>
  </si>
  <si>
    <t>4Mbps / 4Mbps 1:1 (Tele2 Ethernet DSL VDSL2  -  Premium SLA)</t>
  </si>
  <si>
    <t>8M/640K 2:1 (Telefonica ATM ADSL - Business SLA)</t>
  </si>
  <si>
    <t>6Mbps / 6Mbps 1:1 (Tele2 Ethernet DSL VDSL2  -  Premium SLA)</t>
  </si>
  <si>
    <t>8M/640K 2:1 (Orange L2TP ADSL - Business SLA)</t>
  </si>
  <si>
    <t>8Mbps / 8Mbps 1:1 (Tele2 Ethernet DSL VDSL2  -  Premium SLA)</t>
  </si>
  <si>
    <t>1M/320K (Telefonica NEBA ADSL2+  -  Standard SLA)</t>
  </si>
  <si>
    <t>10Mbps / 10Mbps 1:1 (Tele2 Ethernet DSL VDSL2  -  Premium SLA)</t>
  </si>
  <si>
    <t>4M/512K (Telefonica NEBA ADSL2+  -  Standard SLA)</t>
  </si>
  <si>
    <t>1Mbps / 512Kbps 1:1 (Tele2 Ethernet DSL VDSL2  -  Premium SLA)</t>
  </si>
  <si>
    <t>4M/640K (Telefonica NEBA ADSL2+  -  Standard SLA)</t>
  </si>
  <si>
    <t>2Mbps / 512Kbps 1:1 (Tele2 Ethernet DSL VDSL2  -  Premium SLA)</t>
  </si>
  <si>
    <t>8M/640K  (Telefonica NEBA ADSL2+  -  Standard SLA)</t>
  </si>
  <si>
    <t>4Mbps / 512Kbps 1:1 (Tele2 Ethernet DSL VDSL2  -  Premium SLA)</t>
  </si>
  <si>
    <t>10M/800K (Telefonica NEBA ADSL2+  -  Standard SLA)</t>
  </si>
  <si>
    <t>8Mbps / 512Kbps 1:1 (Tele2 Ethernet DSL VDSL2  -  Premium SLA)</t>
  </si>
  <si>
    <t>20M/800K (Telefonica NEBA ADSL2+  -  Standard SLA)</t>
  </si>
  <si>
    <t>2Mbps / 1Mbps 1:1 (Tele2 Ethernet DSL VDSL2  -  Premium SLA)</t>
  </si>
  <si>
    <t>10M/1M (Telefonica NEBA VDSL2  -  Standard SLA)</t>
  </si>
  <si>
    <t>4Mbps / 1Mbps 1:1 (Tele2 Ethernet DSL VDSL2  -  Premium SLA)</t>
  </si>
  <si>
    <t>30M/1M (Telefonica NEBA VDSL2  -  Standard SLA)</t>
  </si>
  <si>
    <t>8Mbps / 1Mbps 1:1 (Tele2 Ethernet DSL VDSL2  -  Premium SLA)</t>
  </si>
  <si>
    <t>30M/3M (Telefonica NEBA VDSL2  -  Standard SLA)</t>
  </si>
  <si>
    <t>12Mbps / 1Mbps 1:1 (Tele2 Ethernet DSL VDSL2  -  Premium SLA)</t>
  </si>
  <si>
    <t>10M/1M (Telefonica NEBA FTTP/GPON  -  Business SLA)</t>
  </si>
  <si>
    <t>18Mbps / 1Mbps 1:1 (Tele2 Ethernet DSL VDSL2  -  Premium SLA)</t>
  </si>
  <si>
    <t>10M/2M (Telefonica NEBA FTTP/GPON  -  Business SLA)</t>
  </si>
  <si>
    <t>4Mbps / 2Mbps 1:1 (Tele2 Ethernet DSL VDSL2  -  Premium SLA)</t>
  </si>
  <si>
    <t>10M/3M (Telefonica NEBA FTTP/GPON  -  Business SLA)</t>
  </si>
  <si>
    <t>8Mbps / 2Mbps 1:1 (Tele2 Ethernet DSL VDSL2  -  Premium SLA)</t>
  </si>
  <si>
    <t>20M/1M (Telefonica NEBA FTTP/GPON  -  Business SLA)</t>
  </si>
  <si>
    <t>12Mbps / 2Mbps 1:1 (Tele2 Ethernet DSL VDSL2  -  Premium SLA)</t>
  </si>
  <si>
    <t>20M/3M (Telefonica NEBA FTTP/GPON  -  Business SLA)</t>
  </si>
  <si>
    <t>20Mbps / 2Mbps 1:1 (Tele2 Ethernet DSL VDSL2  -  Premium SLA)</t>
  </si>
  <si>
    <t>30M/1M (Telefonica NEBA FTTP/GPON  -  Business SLA)</t>
  </si>
  <si>
    <t>20Mbps / 3Mbps 1:1 (Tele2 Ethernet DSL VDSL2  -  Premium SLA)</t>
  </si>
  <si>
    <t>30M/3M (Telefonica NEBA FTTP/GPON  -  Business SLA)</t>
  </si>
  <si>
    <t>25Mbps / 4Mbps 1:1 (Tele2 Ethernet DSL VDSL2  -  Premium SLA)</t>
  </si>
  <si>
    <t>30M/5M (Telefonica NEBA FTTP/GPON  -  Business SLA)</t>
  </si>
  <si>
    <t>30Mbps / 6Mbps 1:1 (Tele2 Ethernet DSL VDSL2  -  Premium SLA)</t>
  </si>
  <si>
    <t>30M/10M (Telefonica NEBA FTTP/GPON  -  Business SLA)</t>
  </si>
  <si>
    <t>35Mbps / 8Mbps 1:1 (Tele2 Ethernet DSL VDSL2  -  Premium SLA)</t>
  </si>
  <si>
    <t>40Mbps / 10Mbps 1:1 (Tele2 Ethernet DSL VDSL2  -  Premium SLA)</t>
  </si>
  <si>
    <t>2M/128K 1:50</t>
  </si>
  <si>
    <t>1280K/128K</t>
  </si>
  <si>
    <t>512K/128K</t>
  </si>
  <si>
    <t>2M/256K</t>
  </si>
  <si>
    <t>256K/256K</t>
  </si>
  <si>
    <t>2G</t>
  </si>
  <si>
    <t>4M/256K 1:50</t>
  </si>
  <si>
    <t>2560K/192K</t>
  </si>
  <si>
    <t>1M/256K</t>
  </si>
  <si>
    <t>3M/512K</t>
  </si>
  <si>
    <t>512K/512K</t>
  </si>
  <si>
    <t>3G</t>
  </si>
  <si>
    <t>6M/384K 1:50</t>
  </si>
  <si>
    <t>5M/500K</t>
  </si>
  <si>
    <t>1M/1M</t>
  </si>
  <si>
    <t>4G</t>
  </si>
  <si>
    <t>8M/512K 1:50</t>
  </si>
  <si>
    <t>10M/500K</t>
  </si>
  <si>
    <t>6M/512K</t>
  </si>
  <si>
    <t>2M/2M</t>
  </si>
  <si>
    <t>5G</t>
  </si>
  <si>
    <t>4M/256K 1:20</t>
  </si>
  <si>
    <t>15M/900K</t>
  </si>
  <si>
    <t>10M/1M</t>
  </si>
  <si>
    <t>6G</t>
  </si>
  <si>
    <t>6M/384K 1:20</t>
  </si>
  <si>
    <t>25M/5MK</t>
  </si>
  <si>
    <t>4M/4M</t>
  </si>
  <si>
    <t>7G</t>
  </si>
  <si>
    <t>8M/512K 1:20</t>
  </si>
  <si>
    <t>5M/5M</t>
  </si>
  <si>
    <t>8G</t>
  </si>
  <si>
    <t>2M/512K</t>
  </si>
  <si>
    <t>6M/6M</t>
  </si>
  <si>
    <t>9G</t>
  </si>
  <si>
    <t>7M/7M</t>
  </si>
  <si>
    <t>10G</t>
  </si>
  <si>
    <t>4M/512K</t>
  </si>
  <si>
    <t>8M/8M</t>
  </si>
  <si>
    <t>128K/128K</t>
  </si>
  <si>
    <t>9M/9M</t>
  </si>
  <si>
    <t>1M/1M (British Telecom L2TP SHDSL - Standard SLA)</t>
  </si>
  <si>
    <t>10M/10M</t>
  </si>
  <si>
    <t>2M/2M (British Telecom L2TP SHDSL - Standard SLA)</t>
  </si>
  <si>
    <t>11M/11M</t>
  </si>
  <si>
    <t>12M/12M</t>
  </si>
  <si>
    <t>13M/13M</t>
  </si>
  <si>
    <t>14M/14M</t>
  </si>
  <si>
    <t>15M/15M</t>
  </si>
  <si>
    <t>16M/16M</t>
  </si>
  <si>
    <t>17M/17M</t>
  </si>
  <si>
    <t>18M/18M</t>
  </si>
  <si>
    <t>19M/19M</t>
  </si>
  <si>
    <t>20M/20M</t>
  </si>
  <si>
    <t>64kbps (COLT TDM SHDSL - Premium SLA)</t>
  </si>
  <si>
    <t>128kbps (COLT TDM SHDSL - Premium SLA)</t>
  </si>
  <si>
    <t>256kbps (COLT TDM SHDSL - Premium SLA)</t>
  </si>
  <si>
    <t>512kbps (COLT TDM SHDSL - Premium SLA)</t>
  </si>
  <si>
    <t>1Mbps (COLT TDM SHDSL - Premium SLA)</t>
  </si>
  <si>
    <t>1,5Mbps (COLT TDM SHDSL - Premium SLA)</t>
  </si>
  <si>
    <t>2Mbps (COLT TDM SHDSL - Premium SLA)</t>
  </si>
  <si>
    <t>2 x 1Mbps (COLT ATM SHDSL - Premium SLA)</t>
  </si>
  <si>
    <t>3 x 1Mbps (COLT ATM SHDSL - Premium SLA)</t>
  </si>
  <si>
    <t>4 x 1Mbps (COLT ATM SHDSL - Premium SLA)</t>
  </si>
  <si>
    <t>2 x 2Mbps (COLT ATM SHDSL - Premium SLA)</t>
  </si>
  <si>
    <t>3 x 2Mbps (COLT ATM SHDSL - Premium SLA)</t>
  </si>
  <si>
    <t>4 x 2Mbps (COLT ATM SHDSL - Premium SLA)</t>
  </si>
  <si>
    <t>02 788 75 41</t>
  </si>
  <si>
    <t>Français</t>
  </si>
  <si>
    <t>Coféo</t>
  </si>
  <si>
    <t>4 Mb</t>
  </si>
  <si>
    <t>2 Mb</t>
  </si>
  <si>
    <t>This order is for a modification of site Interxion with OHS ID: 151000598 as we need to add 2 new VRF's (VRF-2 Cofeo + VRF-3 AMA MCE)</t>
  </si>
  <si>
    <r>
      <t>change of site 151000598 is needed in order to 2nd and 3rd sites</t>
    </r>
    <r>
      <rPr>
        <b/>
        <u/>
        <sz val="11"/>
        <color rgb="FF1F497D"/>
        <rFont val="Calibri"/>
        <family val="2"/>
      </rPr>
      <t xml:space="preserve"> </t>
    </r>
    <r>
      <rPr>
        <sz val="11"/>
        <color rgb="FF1F497D"/>
        <rFont val="Calibri"/>
        <family val="2"/>
      </rPr>
      <t>to existing Colt IPVPN IPC03415.</t>
    </r>
  </si>
  <si>
    <t>AMA/MCE</t>
  </si>
  <si>
    <t>LAN IP Address Colt Router</t>
  </si>
  <si>
    <t>YES</t>
  </si>
  <si>
    <t>Goeyens</t>
  </si>
  <si>
    <t>Modify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</si>
</sst>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_-;\-* #,##0.00_-;_-* \-??_-;_-@_-"/>
    <numFmt numFmtId="166" formatCode="_-* #,##0.000_-;\-* #,##0.000_-;_-* \-??_-;_-@_-"/>
  </numFmts>
  <fonts count="55" x14ac:knownFonts="1">
    <font>
      <sz val="10"/>
      <name val="Arial"/>
      <family val="2"/>
      <charset val="1"/>
    </font>
    <font>
      <sz val="10"/>
      <color rgb="FFFF0000"/>
      <name val="Arial"/>
      <family val="2"/>
      <charset val="1"/>
    </font>
    <font>
      <sz val="10"/>
      <color rgb="FFFFFFFF"/>
      <name val="Arial"/>
      <family val="2"/>
      <charset val="1"/>
    </font>
    <font>
      <sz val="20"/>
      <name val="Arial"/>
      <family val="2"/>
      <charset val="1"/>
    </font>
    <font>
      <sz val="16"/>
      <name val="Arial"/>
      <family val="2"/>
      <charset val="1"/>
    </font>
    <font>
      <b/>
      <sz val="20"/>
      <name val="Arial"/>
      <family val="2"/>
      <charset val="1"/>
    </font>
    <font>
      <b/>
      <sz val="12"/>
      <name val="Arial"/>
      <family val="2"/>
      <charset val="1"/>
    </font>
    <font>
      <i/>
      <sz val="10"/>
      <color rgb="FF808080"/>
      <name val="Arial"/>
      <family val="2"/>
      <charset val="1"/>
    </font>
    <font>
      <i/>
      <u/>
      <sz val="10"/>
      <color rgb="FF808080"/>
      <name val="Arial"/>
      <family val="2"/>
      <charset val="1"/>
    </font>
    <font>
      <b/>
      <sz val="10"/>
      <name val="Arial"/>
      <family val="2"/>
      <charset val="1"/>
    </font>
    <font>
      <u/>
      <sz val="10"/>
      <name val="Arial"/>
      <family val="2"/>
      <charset val="1"/>
    </font>
    <font>
      <b/>
      <sz val="10"/>
      <color rgb="FFFF0000"/>
      <name val="Arial"/>
      <family val="2"/>
      <charset val="1"/>
    </font>
    <font>
      <sz val="9"/>
      <name val="Arial"/>
      <family val="2"/>
      <charset val="1"/>
    </font>
    <font>
      <i/>
      <sz val="10"/>
      <color rgb="FFFFFFFF"/>
      <name val="Arial"/>
      <family val="2"/>
      <charset val="1"/>
    </font>
    <font>
      <i/>
      <sz val="10"/>
      <name val="Arial"/>
      <family val="2"/>
      <charset val="1"/>
    </font>
    <font>
      <sz val="11"/>
      <color rgb="FFFF0000"/>
      <name val="Arial"/>
      <family val="2"/>
      <charset val="1"/>
    </font>
    <font>
      <sz val="8"/>
      <name val="Arial"/>
      <family val="2"/>
      <charset val="1"/>
    </font>
    <font>
      <u/>
      <sz val="7.5"/>
      <color rgb="FF0000FF"/>
      <name val="Arial"/>
      <family val="2"/>
      <charset val="1"/>
    </font>
    <font>
      <sz val="8"/>
      <color rgb="FFFF0000"/>
      <name val="Arial"/>
      <family val="2"/>
      <charset val="1"/>
    </font>
    <font>
      <i/>
      <sz val="10"/>
      <color rgb="FFFF0000"/>
      <name val="Arial"/>
      <family val="2"/>
      <charset val="1"/>
    </font>
    <font>
      <b/>
      <i/>
      <sz val="10"/>
      <color rgb="FF808080"/>
      <name val="Arial"/>
      <family val="2"/>
      <charset val="1"/>
    </font>
    <font>
      <b/>
      <u/>
      <sz val="10"/>
      <name val="Arial"/>
      <family val="2"/>
      <charset val="1"/>
    </font>
    <font>
      <i/>
      <sz val="8"/>
      <color rgb="FF808080"/>
      <name val="Arial"/>
      <family val="2"/>
      <charset val="1"/>
    </font>
    <font>
      <sz val="10"/>
      <color rgb="FF808080"/>
      <name val="Arial"/>
      <family val="2"/>
      <charset val="1"/>
    </font>
    <font>
      <sz val="10"/>
      <color rgb="FF9BBB59"/>
      <name val="Arial"/>
      <family val="2"/>
      <charset val="1"/>
    </font>
    <font>
      <sz val="11"/>
      <name val="Calibri"/>
      <family val="2"/>
      <charset val="1"/>
    </font>
    <font>
      <b/>
      <sz val="8"/>
      <color rgb="FFFF0000"/>
      <name val="Arial"/>
      <family val="2"/>
      <charset val="1"/>
    </font>
    <font>
      <b/>
      <i/>
      <sz val="10"/>
      <name val="Arial"/>
      <family val="2"/>
      <charset val="1"/>
    </font>
    <font>
      <b/>
      <i/>
      <sz val="10"/>
      <color rgb="FF333333"/>
      <name val="Arial"/>
      <family val="2"/>
      <charset val="1"/>
    </font>
    <font>
      <i/>
      <sz val="10"/>
      <color rgb="FF969696"/>
      <name val="Arial"/>
      <family val="2"/>
      <charset val="1"/>
    </font>
    <font>
      <sz val="10"/>
      <color rgb="FF000000"/>
      <name val="Arial"/>
      <family val="2"/>
      <charset val="1"/>
    </font>
    <font>
      <i/>
      <sz val="10"/>
      <color rgb="FFA6A6A6"/>
      <name val="Arial"/>
      <family val="2"/>
      <charset val="1"/>
    </font>
    <font>
      <sz val="10"/>
      <name val="Symbol"/>
      <family val="1"/>
      <charset val="2"/>
    </font>
    <font>
      <sz val="7"/>
      <color rgb="FFFF0000"/>
      <name val="Arial"/>
      <family val="2"/>
      <charset val="1"/>
    </font>
    <font>
      <b/>
      <sz val="10"/>
      <color rgb="FF9BBB59"/>
      <name val="Arial"/>
      <family val="2"/>
      <charset val="1"/>
    </font>
    <font>
      <i/>
      <sz val="10"/>
      <color rgb="FF333333"/>
      <name val="Arial"/>
      <family val="2"/>
      <charset val="1"/>
    </font>
    <font>
      <i/>
      <sz val="10"/>
      <color rgb="FF000000"/>
      <name val="Arial"/>
      <family val="2"/>
      <charset val="1"/>
    </font>
    <font>
      <sz val="9"/>
      <color rgb="FF000000"/>
      <name val="Trebuchet MS"/>
      <family val="2"/>
      <charset val="1"/>
    </font>
    <font>
      <sz val="9"/>
      <name val="Trebuchet MS"/>
      <family val="2"/>
      <charset val="1"/>
    </font>
    <font>
      <sz val="9"/>
      <color rgb="FFFFFFFF"/>
      <name val="Trebuchet MS"/>
      <family val="2"/>
      <charset val="1"/>
    </font>
    <font>
      <sz val="7"/>
      <name val="Arial"/>
      <family val="2"/>
      <charset val="1"/>
    </font>
    <font>
      <sz val="10"/>
      <color rgb="FF0070C0"/>
      <name val="Arial"/>
      <family val="2"/>
      <charset val="1"/>
    </font>
    <font>
      <i/>
      <sz val="10"/>
      <color rgb="FF0070C0"/>
      <name val="Arial"/>
      <family val="2"/>
      <charset val="1"/>
    </font>
    <font>
      <i/>
      <sz val="10"/>
      <color rgb="FF7F7F7F"/>
      <name val="Arial"/>
      <family val="2"/>
      <charset val="1"/>
    </font>
    <font>
      <b/>
      <sz val="10"/>
      <color rgb="FF0000FF"/>
      <name val="Arial"/>
      <family val="2"/>
      <charset val="1"/>
    </font>
    <font>
      <sz val="11"/>
      <color rgb="FF000000"/>
      <name val="Calibri"/>
      <family val="2"/>
      <charset val="1"/>
    </font>
    <font>
      <i/>
      <sz val="8"/>
      <name val="Arial"/>
      <family val="2"/>
      <charset val="1"/>
    </font>
    <font>
      <sz val="8"/>
      <name val="Verdana"/>
      <family val="2"/>
      <charset val="1"/>
    </font>
    <font>
      <b/>
      <sz val="8"/>
      <name val="Verdana"/>
      <family val="2"/>
      <charset val="1"/>
    </font>
    <font>
      <sz val="12"/>
      <name val="Times New Roman"/>
      <family val="1"/>
      <charset val="1"/>
    </font>
    <font>
      <b/>
      <sz val="8"/>
      <color rgb="FF000000"/>
      <name val="Tahoma"/>
      <family val="2"/>
      <charset val="1"/>
    </font>
    <font>
      <sz val="8"/>
      <color rgb="FF000000"/>
      <name val="Tahoma"/>
      <family val="2"/>
      <charset val="1"/>
    </font>
    <font>
      <sz val="10"/>
      <name val="Arial"/>
      <family val="2"/>
      <charset val="1"/>
    </font>
    <font>
      <sz val="11"/>
      <color rgb="FF1F497D"/>
      <name val="Calibri"/>
      <family val="2"/>
    </font>
    <font>
      <b/>
      <u/>
      <sz val="11"/>
      <color rgb="FF1F497D"/>
      <name val="Calibri"/>
      <family val="2"/>
    </font>
  </fonts>
  <fills count="10">
    <fill>
      <patternFill patternType="none"/>
    </fill>
    <fill>
      <patternFill patternType="gray125"/>
    </fill>
    <fill>
      <patternFill patternType="solid">
        <fgColor rgb="FFFFFFFF"/>
        <bgColor rgb="FFF2F2F2"/>
      </patternFill>
    </fill>
    <fill>
      <patternFill patternType="solid">
        <fgColor rgb="FFDBEEF4"/>
        <bgColor rgb="FFDEEBF7"/>
      </patternFill>
    </fill>
    <fill>
      <patternFill patternType="solid">
        <fgColor rgb="FFDEEBF7"/>
        <bgColor rgb="FFDBEEF4"/>
      </patternFill>
    </fill>
    <fill>
      <patternFill patternType="solid">
        <fgColor rgb="FFB7DEE8"/>
        <bgColor rgb="FFDBEEF4"/>
      </patternFill>
    </fill>
    <fill>
      <patternFill patternType="solid">
        <fgColor rgb="FFFFFF00"/>
        <bgColor rgb="FFFFFF00"/>
      </patternFill>
    </fill>
    <fill>
      <patternFill patternType="solid">
        <fgColor rgb="FFF2F2F2"/>
        <bgColor rgb="FFDEEBF7"/>
      </patternFill>
    </fill>
    <fill>
      <patternFill patternType="solid">
        <fgColor rgb="FFC0504D"/>
        <bgColor rgb="FF993366"/>
      </patternFill>
    </fill>
    <fill>
      <patternFill patternType="solid">
        <fgColor rgb="FFC0C0C0"/>
        <bgColor rgb="FFBFBFBF"/>
      </patternFill>
    </fill>
  </fills>
  <borders count="37">
    <border>
      <left/>
      <right/>
      <top/>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rgb="FFBFBFBF"/>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rgb="FFBFBFBF"/>
      </top>
      <bottom style="thin">
        <color rgb="FFBFBFBF"/>
      </bottom>
      <diagonal/>
    </border>
    <border>
      <left/>
      <right/>
      <top/>
      <bottom style="thick">
        <color rgb="FFBFBFBF"/>
      </bottom>
      <diagonal/>
    </border>
    <border>
      <left/>
      <right/>
      <top style="thick">
        <color rgb="FFBFBFBF"/>
      </top>
      <bottom style="thick">
        <color rgb="FFBFBFBF"/>
      </bottom>
      <diagonal/>
    </border>
    <border>
      <left/>
      <right/>
      <top style="thick">
        <color rgb="FFBFBFBF"/>
      </top>
      <bottom/>
      <diagonal/>
    </border>
    <border>
      <left/>
      <right/>
      <top style="thin">
        <color rgb="FFBFBFBF"/>
      </top>
      <bottom style="thick">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style="thin">
        <color rgb="FFBFBFBF"/>
      </top>
      <bottom style="thin">
        <color rgb="FFBFBFBF"/>
      </bottom>
      <diagonal/>
    </border>
    <border>
      <left/>
      <right style="thin">
        <color auto="1"/>
      </right>
      <top/>
      <bottom style="thin">
        <color rgb="FFBFBFBF"/>
      </bottom>
      <diagonal/>
    </border>
    <border>
      <left/>
      <right style="thin">
        <color auto="1"/>
      </right>
      <top style="thin">
        <color rgb="FFBFBFBF"/>
      </top>
      <bottom style="thin">
        <color rgb="FFBFBFBF"/>
      </bottom>
      <diagonal/>
    </border>
    <border>
      <left style="thin">
        <color auto="1"/>
      </left>
      <right/>
      <top/>
      <bottom style="thin">
        <color rgb="FFBFBFBF"/>
      </bottom>
      <diagonal/>
    </border>
    <border>
      <left style="thin">
        <color auto="1"/>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auto="1"/>
      </top>
      <bottom style="thin">
        <color auto="1"/>
      </bottom>
      <diagonal/>
    </border>
    <border>
      <left style="thin">
        <color rgb="FFBFBFBF"/>
      </left>
      <right/>
      <top style="thin">
        <color rgb="FFBFBFBF"/>
      </top>
      <bottom style="thin">
        <color rgb="FFBFBFBF"/>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xf numFmtId="165" fontId="52" fillId="0" borderId="0"/>
    <xf numFmtId="0" fontId="17" fillId="0" borderId="0"/>
    <xf numFmtId="0" fontId="52" fillId="0" borderId="0"/>
  </cellStyleXfs>
  <cellXfs count="302">
    <xf numFmtId="0" fontId="0" fillId="0" borderId="0" xfId="0"/>
    <xf numFmtId="0" fontId="0" fillId="2" borderId="0" xfId="3" applyFont="1" applyFill="1"/>
    <xf numFmtId="0" fontId="1" fillId="2" borderId="0" xfId="3" applyFont="1" applyFill="1"/>
    <xf numFmtId="0" fontId="2" fillId="2" borderId="0" xfId="3" applyFont="1" applyFill="1"/>
    <xf numFmtId="0" fontId="3" fillId="2" borderId="0" xfId="3" applyFont="1" applyFill="1" applyBorder="1" applyAlignment="1">
      <alignment horizontal="center" vertical="center"/>
    </xf>
    <xf numFmtId="0" fontId="0" fillId="2" borderId="0" xfId="3" applyFont="1" applyFill="1" applyBorder="1"/>
    <xf numFmtId="0" fontId="4" fillId="2" borderId="0" xfId="3" applyFont="1" applyFill="1" applyBorder="1" applyAlignment="1">
      <alignment horizontal="center"/>
    </xf>
    <xf numFmtId="0" fontId="0" fillId="2" borderId="0" xfId="3" applyFont="1" applyFill="1" applyBorder="1" applyAlignment="1"/>
    <xf numFmtId="0" fontId="5" fillId="2" borderId="0" xfId="3" applyFont="1" applyFill="1" applyBorder="1" applyAlignment="1"/>
    <xf numFmtId="0" fontId="4" fillId="2" borderId="0" xfId="3" applyFont="1" applyFill="1" applyBorder="1" applyAlignment="1">
      <alignment horizontal="right"/>
    </xf>
    <xf numFmtId="0" fontId="1" fillId="2" borderId="0" xfId="3" applyFont="1" applyFill="1" applyAlignment="1"/>
    <xf numFmtId="0" fontId="0" fillId="2" borderId="1" xfId="3" applyFont="1" applyFill="1" applyBorder="1"/>
    <xf numFmtId="0" fontId="6" fillId="2" borderId="0" xfId="3" applyFont="1" applyFill="1" applyBorder="1" applyAlignment="1">
      <alignment horizontal="right"/>
    </xf>
    <xf numFmtId="0" fontId="7" fillId="2" borderId="0" xfId="3" applyFont="1" applyFill="1" applyBorder="1"/>
    <xf numFmtId="0" fontId="0" fillId="2" borderId="2" xfId="3" applyFont="1" applyFill="1" applyBorder="1"/>
    <xf numFmtId="0" fontId="7" fillId="2" borderId="2" xfId="3" applyFont="1" applyFill="1" applyBorder="1"/>
    <xf numFmtId="0" fontId="0" fillId="2" borderId="3" xfId="3" applyFont="1" applyFill="1" applyBorder="1"/>
    <xf numFmtId="0" fontId="0" fillId="2" borderId="4" xfId="3" applyFont="1" applyFill="1" applyBorder="1"/>
    <xf numFmtId="0" fontId="6" fillId="2" borderId="4" xfId="3" applyFont="1" applyFill="1" applyBorder="1" applyAlignment="1">
      <alignment horizontal="right"/>
    </xf>
    <xf numFmtId="0" fontId="7" fillId="2" borderId="5" xfId="3" applyFont="1" applyFill="1" applyBorder="1"/>
    <xf numFmtId="0" fontId="0" fillId="2" borderId="1" xfId="3" applyFont="1" applyFill="1" applyBorder="1" applyAlignment="1">
      <alignment horizontal="right"/>
    </xf>
    <xf numFmtId="0" fontId="9" fillId="2" borderId="0" xfId="3" applyFont="1" applyFill="1" applyBorder="1"/>
    <xf numFmtId="0" fontId="9" fillId="3" borderId="6" xfId="3" applyFont="1" applyFill="1" applyBorder="1" applyAlignment="1"/>
    <xf numFmtId="0" fontId="7" fillId="2" borderId="7" xfId="3" applyFont="1" applyFill="1" applyBorder="1"/>
    <xf numFmtId="0" fontId="0" fillId="2" borderId="8" xfId="3" applyFont="1" applyFill="1" applyBorder="1"/>
    <xf numFmtId="0" fontId="6" fillId="2" borderId="2" xfId="3" applyFont="1" applyFill="1" applyBorder="1" applyAlignment="1">
      <alignment horizontal="right"/>
    </xf>
    <xf numFmtId="0" fontId="7" fillId="2" borderId="9" xfId="3" applyFont="1" applyFill="1" applyBorder="1"/>
    <xf numFmtId="0" fontId="11" fillId="3" borderId="6" xfId="3" applyFont="1" applyFill="1" applyBorder="1" applyAlignment="1">
      <alignment horizontal="center"/>
    </xf>
    <xf numFmtId="0" fontId="11" fillId="3" borderId="10" xfId="3" applyFont="1" applyFill="1" applyBorder="1" applyAlignment="1">
      <alignment horizontal="center"/>
    </xf>
    <xf numFmtId="0" fontId="0" fillId="2" borderId="0" xfId="3" applyFont="1" applyFill="1" applyBorder="1" applyAlignment="1">
      <alignment horizontal="center"/>
    </xf>
    <xf numFmtId="1" fontId="0" fillId="4" borderId="6" xfId="3" applyNumberFormat="1" applyFont="1" applyFill="1" applyBorder="1" applyAlignment="1">
      <alignment horizontal="left"/>
    </xf>
    <xf numFmtId="0" fontId="11" fillId="2" borderId="0" xfId="3" applyFont="1" applyFill="1" applyBorder="1" applyAlignment="1">
      <alignment horizontal="center"/>
    </xf>
    <xf numFmtId="0" fontId="11" fillId="2" borderId="2" xfId="3" applyFont="1" applyFill="1" applyBorder="1" applyAlignment="1">
      <alignment horizontal="center"/>
    </xf>
    <xf numFmtId="0" fontId="1" fillId="2" borderId="3" xfId="3" applyFont="1" applyFill="1" applyBorder="1"/>
    <xf numFmtId="0" fontId="1" fillId="2" borderId="4" xfId="3" applyFont="1" applyFill="1" applyBorder="1"/>
    <xf numFmtId="0" fontId="2" fillId="0" borderId="0" xfId="0" applyFont="1"/>
    <xf numFmtId="0" fontId="1" fillId="2" borderId="1" xfId="3" applyFont="1" applyFill="1" applyBorder="1"/>
    <xf numFmtId="0" fontId="1" fillId="2" borderId="0" xfId="3" applyFont="1" applyFill="1" applyBorder="1"/>
    <xf numFmtId="0" fontId="11" fillId="2" borderId="0" xfId="3" applyFont="1" applyFill="1"/>
    <xf numFmtId="0" fontId="11" fillId="2" borderId="0" xfId="3" applyFont="1" applyFill="1" applyBorder="1"/>
    <xf numFmtId="0" fontId="0" fillId="0" borderId="0" xfId="0" applyFont="1"/>
    <xf numFmtId="0" fontId="11" fillId="2" borderId="0" xfId="3" applyFont="1" applyFill="1" applyBorder="1" applyAlignment="1"/>
    <xf numFmtId="0" fontId="11" fillId="0" borderId="0" xfId="0" applyFont="1" applyAlignment="1"/>
    <xf numFmtId="0" fontId="0" fillId="5" borderId="11" xfId="3" applyFont="1" applyFill="1" applyBorder="1" applyAlignment="1"/>
    <xf numFmtId="0" fontId="1" fillId="2" borderId="0" xfId="3" applyFont="1" applyFill="1" applyBorder="1" applyAlignment="1"/>
    <xf numFmtId="0" fontId="0" fillId="0" borderId="0" xfId="3" applyFont="1" applyBorder="1" applyAlignment="1"/>
    <xf numFmtId="0" fontId="1" fillId="2" borderId="8" xfId="3" applyFont="1" applyFill="1" applyBorder="1"/>
    <xf numFmtId="0" fontId="1" fillId="2" borderId="2" xfId="3" applyFont="1" applyFill="1" applyBorder="1"/>
    <xf numFmtId="0" fontId="0" fillId="0" borderId="0" xfId="0" applyFont="1" applyBorder="1"/>
    <xf numFmtId="0" fontId="11" fillId="0" borderId="0" xfId="0" applyFont="1" applyBorder="1" applyAlignment="1"/>
    <xf numFmtId="0" fontId="7" fillId="2" borderId="0" xfId="3" applyFont="1" applyFill="1"/>
    <xf numFmtId="0" fontId="12" fillId="2" borderId="0" xfId="3" applyFont="1" applyFill="1" applyBorder="1"/>
    <xf numFmtId="0" fontId="0" fillId="5" borderId="12" xfId="3" applyFont="1" applyFill="1" applyBorder="1" applyAlignment="1">
      <alignment horizontal="center"/>
    </xf>
    <xf numFmtId="0" fontId="0" fillId="5" borderId="13" xfId="3" applyFont="1" applyFill="1" applyBorder="1" applyAlignment="1">
      <alignment horizontal="center"/>
    </xf>
    <xf numFmtId="0" fontId="13" fillId="2" borderId="0" xfId="3" applyFont="1" applyFill="1" applyBorder="1"/>
    <xf numFmtId="0" fontId="13" fillId="0" borderId="0" xfId="0" applyFont="1"/>
    <xf numFmtId="0" fontId="0" fillId="2" borderId="5" xfId="3" applyFont="1" applyFill="1" applyBorder="1"/>
    <xf numFmtId="0" fontId="9" fillId="2" borderId="0" xfId="3" applyFont="1" applyFill="1" applyBorder="1" applyAlignment="1">
      <alignment horizontal="left" vertical="top"/>
    </xf>
    <xf numFmtId="0" fontId="0" fillId="2" borderId="0" xfId="3" applyFont="1" applyFill="1" applyBorder="1" applyAlignment="1">
      <alignment horizontal="left" vertical="top"/>
    </xf>
    <xf numFmtId="0" fontId="0" fillId="2" borderId="7" xfId="3" applyFont="1" applyFill="1" applyBorder="1"/>
    <xf numFmtId="0" fontId="9" fillId="2" borderId="0" xfId="3" applyFont="1" applyFill="1" applyBorder="1" applyAlignment="1">
      <alignment vertical="top"/>
    </xf>
    <xf numFmtId="0" fontId="0" fillId="2" borderId="0" xfId="3" applyFont="1" applyFill="1" applyBorder="1" applyAlignment="1">
      <alignment horizontal="left"/>
    </xf>
    <xf numFmtId="0" fontId="0" fillId="2" borderId="0" xfId="3" applyFont="1" applyFill="1" applyBorder="1" applyAlignment="1">
      <alignment horizontal="right" vertical="top"/>
    </xf>
    <xf numFmtId="0" fontId="0" fillId="2" borderId="0" xfId="3" applyFont="1" applyFill="1" applyBorder="1" applyAlignment="1">
      <alignment vertical="top"/>
    </xf>
    <xf numFmtId="0" fontId="14" fillId="2" borderId="0" xfId="3" applyFont="1" applyFill="1" applyBorder="1"/>
    <xf numFmtId="0" fontId="11" fillId="0" borderId="0" xfId="3" applyFont="1"/>
    <xf numFmtId="0" fontId="0" fillId="2" borderId="0" xfId="3" applyFont="1" applyFill="1" applyBorder="1" applyAlignment="1">
      <alignment horizontal="left" vertical="top" wrapText="1"/>
    </xf>
    <xf numFmtId="0" fontId="0" fillId="2" borderId="0" xfId="3" applyFont="1" applyFill="1" applyBorder="1" applyAlignment="1">
      <alignment horizontal="right"/>
    </xf>
    <xf numFmtId="0" fontId="0" fillId="4" borderId="6" xfId="3" applyFont="1" applyFill="1" applyBorder="1" applyAlignment="1">
      <alignment horizontal="left" shrinkToFit="1"/>
    </xf>
    <xf numFmtId="0" fontId="0" fillId="4" borderId="10" xfId="3" applyFont="1" applyFill="1" applyBorder="1" applyAlignment="1">
      <alignment horizontal="left" shrinkToFit="1"/>
    </xf>
    <xf numFmtId="1" fontId="0" fillId="3" borderId="6" xfId="3" applyNumberFormat="1" applyFont="1" applyFill="1" applyBorder="1" applyAlignment="1">
      <alignment horizontal="left"/>
    </xf>
    <xf numFmtId="1" fontId="0" fillId="4" borderId="10" xfId="3" applyNumberFormat="1" applyFont="1" applyFill="1" applyBorder="1" applyAlignment="1">
      <alignment horizontal="left"/>
    </xf>
    <xf numFmtId="0" fontId="7" fillId="2" borderId="0" xfId="3" applyFont="1" applyFill="1" applyAlignment="1">
      <alignment horizontal="right"/>
    </xf>
    <xf numFmtId="0" fontId="0" fillId="4" borderId="14" xfId="3" applyFont="1" applyFill="1" applyBorder="1" applyAlignment="1">
      <alignment horizontal="left" shrinkToFit="1"/>
    </xf>
    <xf numFmtId="0" fontId="15" fillId="2" borderId="0" xfId="3" applyFont="1" applyFill="1" applyBorder="1" applyAlignment="1">
      <alignment horizontal="left" shrinkToFit="1"/>
    </xf>
    <xf numFmtId="0" fontId="0" fillId="2" borderId="0" xfId="3" applyFont="1" applyFill="1" applyBorder="1" applyAlignment="1">
      <alignment horizontal="left" shrinkToFit="1"/>
    </xf>
    <xf numFmtId="1" fontId="0" fillId="3" borderId="10" xfId="3" applyNumberFormat="1" applyFont="1" applyFill="1" applyBorder="1" applyAlignment="1">
      <alignment horizontal="left"/>
    </xf>
    <xf numFmtId="0" fontId="0" fillId="3" borderId="6" xfId="3" applyFont="1" applyFill="1" applyBorder="1" applyAlignment="1">
      <alignment horizontal="left" shrinkToFit="1"/>
    </xf>
    <xf numFmtId="0" fontId="0" fillId="3" borderId="10" xfId="3" applyFont="1" applyFill="1" applyBorder="1" applyAlignment="1">
      <alignment horizontal="left" shrinkToFit="1"/>
    </xf>
    <xf numFmtId="0" fontId="0" fillId="6" borderId="6" xfId="3" applyFont="1" applyFill="1" applyBorder="1" applyAlignment="1">
      <alignment horizontal="left" shrinkToFit="1"/>
    </xf>
    <xf numFmtId="14" fontId="0" fillId="4" borderId="6" xfId="3" applyNumberFormat="1" applyFont="1" applyFill="1" applyBorder="1" applyAlignment="1">
      <alignment horizontal="left"/>
    </xf>
    <xf numFmtId="0" fontId="0" fillId="4" borderId="0" xfId="3" applyFont="1" applyFill="1" applyBorder="1"/>
    <xf numFmtId="1" fontId="16" fillId="3" borderId="10" xfId="3" applyNumberFormat="1" applyFont="1" applyFill="1" applyBorder="1" applyAlignment="1"/>
    <xf numFmtId="1" fontId="0" fillId="3" borderId="10" xfId="3" applyNumberFormat="1" applyFont="1" applyFill="1" applyBorder="1" applyAlignment="1"/>
    <xf numFmtId="0" fontId="17" fillId="6" borderId="6" xfId="2" applyFill="1" applyBorder="1" applyAlignment="1" applyProtection="1">
      <alignment horizontal="left" shrinkToFit="1"/>
    </xf>
    <xf numFmtId="0" fontId="0" fillId="2" borderId="0" xfId="3" applyFont="1" applyFill="1" applyBorder="1" applyAlignment="1">
      <alignment horizontal="right" wrapText="1"/>
    </xf>
    <xf numFmtId="0" fontId="0" fillId="6" borderId="10" xfId="3" applyFont="1" applyFill="1" applyBorder="1" applyAlignment="1">
      <alignment horizontal="left" shrinkToFit="1"/>
    </xf>
    <xf numFmtId="49" fontId="0" fillId="4" borderId="10" xfId="3" applyNumberFormat="1" applyFont="1" applyFill="1" applyBorder="1" applyAlignment="1">
      <alignment horizontal="left" shrinkToFit="1"/>
    </xf>
    <xf numFmtId="0" fontId="0" fillId="3" borderId="6" xfId="3" applyFont="1" applyFill="1" applyBorder="1" applyAlignment="1"/>
    <xf numFmtId="0" fontId="18" fillId="2" borderId="1" xfId="3" applyFont="1" applyFill="1" applyBorder="1"/>
    <xf numFmtId="0" fontId="0" fillId="2" borderId="9" xfId="3" applyFont="1" applyFill="1" applyBorder="1"/>
    <xf numFmtId="0" fontId="18" fillId="2" borderId="8" xfId="3" applyFont="1" applyFill="1" applyBorder="1"/>
    <xf numFmtId="0" fontId="7" fillId="2" borderId="4" xfId="3" applyFont="1" applyFill="1" applyBorder="1"/>
    <xf numFmtId="0" fontId="0" fillId="2" borderId="4" xfId="3" applyFont="1" applyFill="1" applyBorder="1" applyAlignment="1">
      <alignment horizontal="right" vertical="top"/>
    </xf>
    <xf numFmtId="0" fontId="0" fillId="2" borderId="4" xfId="3" applyFont="1" applyFill="1" applyBorder="1" applyAlignment="1">
      <alignment horizontal="left"/>
    </xf>
    <xf numFmtId="0" fontId="0" fillId="2" borderId="4" xfId="3" applyFont="1" applyFill="1" applyBorder="1" applyAlignment="1">
      <alignment vertical="top"/>
    </xf>
    <xf numFmtId="0" fontId="0" fillId="2" borderId="4" xfId="3" applyFont="1" applyFill="1" applyBorder="1" applyAlignment="1"/>
    <xf numFmtId="0" fontId="7" fillId="2" borderId="1" xfId="3" applyFont="1" applyFill="1" applyBorder="1"/>
    <xf numFmtId="0" fontId="17" fillId="4" borderId="6" xfId="2" applyFont="1" applyFill="1" applyBorder="1" applyAlignment="1" applyProtection="1">
      <alignment horizontal="left" shrinkToFit="1"/>
    </xf>
    <xf numFmtId="0" fontId="0" fillId="4" borderId="11" xfId="3" applyFont="1" applyFill="1" applyBorder="1" applyAlignment="1"/>
    <xf numFmtId="0" fontId="19" fillId="2" borderId="0" xfId="3" applyFont="1" applyFill="1" applyBorder="1"/>
    <xf numFmtId="0" fontId="20" fillId="2" borderId="2" xfId="3" applyFont="1" applyFill="1" applyBorder="1"/>
    <xf numFmtId="0" fontId="20" fillId="2" borderId="0" xfId="3" applyFont="1" applyFill="1" applyBorder="1"/>
    <xf numFmtId="0" fontId="9" fillId="2" borderId="4" xfId="3" applyFont="1" applyFill="1" applyBorder="1"/>
    <xf numFmtId="0" fontId="19" fillId="2" borderId="0" xfId="3" applyFont="1" applyFill="1"/>
    <xf numFmtId="0" fontId="9" fillId="2" borderId="7" xfId="3" applyFont="1" applyFill="1" applyBorder="1"/>
    <xf numFmtId="0" fontId="9" fillId="2" borderId="1" xfId="3" applyFont="1" applyFill="1" applyBorder="1"/>
    <xf numFmtId="0" fontId="9" fillId="2" borderId="0" xfId="3" applyFont="1" applyFill="1"/>
    <xf numFmtId="0" fontId="14" fillId="2" borderId="0" xfId="3" applyFont="1" applyFill="1"/>
    <xf numFmtId="0" fontId="0" fillId="3" borderId="6" xfId="3" applyFont="1" applyFill="1" applyBorder="1"/>
    <xf numFmtId="0" fontId="16" fillId="2" borderId="0" xfId="3" applyFont="1" applyFill="1" applyBorder="1"/>
    <xf numFmtId="0" fontId="1" fillId="3" borderId="15" xfId="3" applyFont="1" applyFill="1" applyBorder="1"/>
    <xf numFmtId="0" fontId="1" fillId="3" borderId="16" xfId="3" applyFont="1" applyFill="1" applyBorder="1"/>
    <xf numFmtId="0" fontId="1" fillId="3" borderId="17" xfId="3" applyFont="1" applyFill="1" applyBorder="1"/>
    <xf numFmtId="0" fontId="0" fillId="0" borderId="0" xfId="3" applyFont="1" applyBorder="1" applyAlignment="1">
      <alignment horizontal="right"/>
    </xf>
    <xf numFmtId="0" fontId="0" fillId="3" borderId="6" xfId="3" applyFont="1" applyFill="1" applyBorder="1" applyAlignment="1">
      <alignment horizontal="center"/>
    </xf>
    <xf numFmtId="0" fontId="0" fillId="2" borderId="0" xfId="3" applyFont="1" applyFill="1" applyAlignment="1">
      <alignment horizontal="right"/>
    </xf>
    <xf numFmtId="0" fontId="0" fillId="2" borderId="1" xfId="3" applyFont="1" applyFill="1" applyBorder="1" applyAlignment="1">
      <alignment horizontal="left"/>
    </xf>
    <xf numFmtId="0" fontId="0" fillId="2" borderId="0" xfId="3" applyFont="1" applyFill="1" applyAlignment="1">
      <alignment horizontal="left"/>
    </xf>
    <xf numFmtId="0" fontId="9" fillId="2" borderId="3" xfId="3" applyFont="1" applyFill="1" applyBorder="1"/>
    <xf numFmtId="0" fontId="21" fillId="2" borderId="4" xfId="3" applyFont="1" applyFill="1" applyBorder="1"/>
    <xf numFmtId="0" fontId="22" fillId="2" borderId="4" xfId="3" applyFont="1" applyFill="1" applyBorder="1"/>
    <xf numFmtId="0" fontId="21" fillId="2" borderId="0" xfId="3" applyFont="1" applyFill="1" applyBorder="1"/>
    <xf numFmtId="0" fontId="14" fillId="2" borderId="7" xfId="3" applyFont="1" applyFill="1" applyBorder="1"/>
    <xf numFmtId="0" fontId="0" fillId="4" borderId="15" xfId="3" applyFont="1" applyFill="1" applyBorder="1"/>
    <xf numFmtId="0" fontId="0" fillId="4" borderId="16" xfId="3" applyFont="1" applyFill="1" applyBorder="1"/>
    <xf numFmtId="0" fontId="0" fillId="4" borderId="17" xfId="3" applyFont="1" applyFill="1" applyBorder="1"/>
    <xf numFmtId="0" fontId="0" fillId="3" borderId="18" xfId="3" applyFont="1" applyFill="1" applyBorder="1" applyAlignment="1">
      <alignment horizontal="center"/>
    </xf>
    <xf numFmtId="0" fontId="0" fillId="3" borderId="10" xfId="3" applyFont="1" applyFill="1" applyBorder="1"/>
    <xf numFmtId="0" fontId="7" fillId="2" borderId="0" xfId="3" applyFont="1" applyFill="1" applyBorder="1" applyAlignment="1"/>
    <xf numFmtId="0" fontId="0" fillId="3" borderId="15" xfId="3" applyFont="1" applyFill="1" applyBorder="1"/>
    <xf numFmtId="0" fontId="0" fillId="3" borderId="16" xfId="3" applyFont="1" applyFill="1" applyBorder="1"/>
    <xf numFmtId="0" fontId="0" fillId="3" borderId="17" xfId="3" applyFont="1" applyFill="1" applyBorder="1"/>
    <xf numFmtId="0" fontId="11" fillId="3" borderId="0" xfId="3" applyFont="1" applyFill="1" applyBorder="1" applyAlignment="1">
      <alignment horizontal="center"/>
    </xf>
    <xf numFmtId="0" fontId="9" fillId="2" borderId="0" xfId="3" applyFont="1" applyFill="1" applyBorder="1" applyAlignment="1">
      <alignment horizontal="left"/>
    </xf>
    <xf numFmtId="0" fontId="7" fillId="2" borderId="0" xfId="3" applyFont="1" applyFill="1" applyBorder="1" applyAlignment="1">
      <alignment horizontal="left"/>
    </xf>
    <xf numFmtId="0" fontId="0" fillId="3" borderId="6" xfId="3" applyFont="1" applyFill="1" applyBorder="1" applyAlignment="1">
      <alignment horizontal="left"/>
    </xf>
    <xf numFmtId="0" fontId="2" fillId="2" borderId="0" xfId="3" applyFont="1" applyFill="1" applyBorder="1"/>
    <xf numFmtId="0" fontId="23" fillId="2" borderId="0" xfId="3" applyFont="1" applyFill="1" applyBorder="1"/>
    <xf numFmtId="0" fontId="0" fillId="0" borderId="0" xfId="0" applyFont="1" applyAlignment="1">
      <alignment vertical="center"/>
    </xf>
    <xf numFmtId="0" fontId="24" fillId="2" borderId="0" xfId="3" applyFont="1" applyFill="1" applyBorder="1"/>
    <xf numFmtId="0" fontId="25" fillId="0" borderId="0" xfId="0" applyFont="1" applyAlignment="1">
      <alignment horizontal="left" vertical="center" indent="15"/>
    </xf>
    <xf numFmtId="0" fontId="1" fillId="2" borderId="0" xfId="3" applyFont="1" applyFill="1" applyAlignment="1">
      <alignment horizontal="right"/>
    </xf>
    <xf numFmtId="14" fontId="0" fillId="3" borderId="6" xfId="3" applyNumberFormat="1" applyFont="1" applyFill="1" applyBorder="1" applyAlignment="1">
      <alignment horizontal="left"/>
    </xf>
    <xf numFmtId="0" fontId="0" fillId="5" borderId="11" xfId="3" applyFont="1" applyFill="1" applyBorder="1" applyAlignment="1">
      <alignment horizontal="left" shrinkToFit="1"/>
    </xf>
    <xf numFmtId="14" fontId="0" fillId="3" borderId="10" xfId="3" applyNumberFormat="1" applyFont="1" applyFill="1" applyBorder="1" applyAlignment="1">
      <alignment horizontal="left"/>
    </xf>
    <xf numFmtId="0" fontId="9" fillId="2" borderId="5" xfId="3" applyFont="1" applyFill="1" applyBorder="1"/>
    <xf numFmtId="1" fontId="0" fillId="3" borderId="19" xfId="3" applyNumberFormat="1" applyFont="1" applyFill="1" applyBorder="1" applyAlignment="1">
      <alignment horizontal="left"/>
    </xf>
    <xf numFmtId="1" fontId="0" fillId="3" borderId="20" xfId="3" applyNumberFormat="1" applyFont="1" applyFill="1" applyBorder="1" applyAlignment="1">
      <alignment horizontal="left"/>
    </xf>
    <xf numFmtId="1" fontId="0" fillId="3" borderId="2" xfId="3" applyNumberFormat="1" applyFont="1" applyFill="1" applyBorder="1" applyAlignment="1">
      <alignment horizontal="left"/>
    </xf>
    <xf numFmtId="0" fontId="26" fillId="2" borderId="0" xfId="3" applyFont="1" applyFill="1" applyBorder="1"/>
    <xf numFmtId="1" fontId="0" fillId="3" borderId="6" xfId="3" applyNumberFormat="1" applyFont="1" applyFill="1" applyBorder="1" applyAlignment="1">
      <alignment horizontal="center"/>
    </xf>
    <xf numFmtId="0" fontId="0" fillId="2" borderId="3" xfId="3" applyFont="1" applyFill="1" applyBorder="1" applyAlignment="1">
      <alignment wrapText="1"/>
    </xf>
    <xf numFmtId="0" fontId="0" fillId="2" borderId="4" xfId="3" applyFont="1" applyFill="1" applyBorder="1" applyAlignment="1">
      <alignment wrapText="1"/>
    </xf>
    <xf numFmtId="0" fontId="0" fillId="2" borderId="4" xfId="3" applyFont="1" applyFill="1" applyBorder="1" applyAlignment="1">
      <alignment textRotation="180"/>
    </xf>
    <xf numFmtId="1" fontId="0" fillId="3" borderId="21" xfId="3" applyNumberFormat="1" applyFont="1" applyFill="1" applyBorder="1" applyAlignment="1">
      <alignment horizontal="left"/>
    </xf>
    <xf numFmtId="1" fontId="0" fillId="3" borderId="22" xfId="3" applyNumberFormat="1" applyFont="1" applyFill="1" applyBorder="1" applyAlignment="1">
      <alignment horizontal="left"/>
    </xf>
    <xf numFmtId="0" fontId="27" fillId="2" borderId="0" xfId="3" applyFont="1" applyFill="1" applyBorder="1"/>
    <xf numFmtId="0" fontId="28" fillId="2" borderId="0" xfId="3" applyFont="1" applyFill="1" applyBorder="1"/>
    <xf numFmtId="0" fontId="28" fillId="2" borderId="0" xfId="3" applyFont="1" applyFill="1"/>
    <xf numFmtId="0" fontId="29" fillId="2" borderId="0" xfId="3" applyFont="1" applyFill="1" applyBorder="1"/>
    <xf numFmtId="0" fontId="1" fillId="2" borderId="0" xfId="3" applyFont="1" applyFill="1" applyBorder="1" applyAlignment="1">
      <alignment horizontal="left"/>
    </xf>
    <xf numFmtId="0" fontId="0" fillId="3" borderId="23" xfId="3" applyFont="1" applyFill="1" applyBorder="1"/>
    <xf numFmtId="0" fontId="1" fillId="2" borderId="2" xfId="3" applyFont="1" applyFill="1" applyBorder="1" applyAlignment="1">
      <alignment horizontal="center"/>
    </xf>
    <xf numFmtId="0" fontId="0" fillId="2" borderId="2" xfId="3" applyFont="1" applyFill="1" applyBorder="1" applyAlignment="1">
      <alignment horizontal="center"/>
    </xf>
    <xf numFmtId="0" fontId="0" fillId="2" borderId="24" xfId="3" applyFont="1" applyFill="1" applyBorder="1"/>
    <xf numFmtId="0" fontId="7" fillId="2" borderId="24" xfId="3" applyFont="1" applyFill="1" applyBorder="1"/>
    <xf numFmtId="0" fontId="0" fillId="3" borderId="18" xfId="3" applyFont="1" applyFill="1" applyBorder="1"/>
    <xf numFmtId="0" fontId="0" fillId="3" borderId="25" xfId="3" applyFont="1" applyFill="1" applyBorder="1"/>
    <xf numFmtId="0" fontId="0" fillId="3" borderId="6" xfId="3" applyFont="1" applyFill="1" applyBorder="1" applyAlignment="1">
      <alignment horizontal="center" shrinkToFit="1"/>
    </xf>
    <xf numFmtId="0" fontId="0" fillId="3" borderId="10" xfId="3" applyFont="1" applyFill="1" applyBorder="1" applyAlignment="1">
      <alignment horizontal="center" shrinkToFit="1"/>
    </xf>
    <xf numFmtId="0" fontId="9" fillId="3" borderId="6" xfId="3" applyFont="1" applyFill="1" applyBorder="1" applyAlignment="1">
      <alignment horizontal="center"/>
    </xf>
    <xf numFmtId="0" fontId="9" fillId="2" borderId="0" xfId="3" applyFont="1" applyFill="1" applyBorder="1" applyAlignment="1">
      <alignment horizontal="center"/>
    </xf>
    <xf numFmtId="0" fontId="0" fillId="3" borderId="6" xfId="0" applyFill="1" applyBorder="1" applyAlignment="1">
      <alignment horizontal="left" shrinkToFit="1"/>
    </xf>
    <xf numFmtId="0" fontId="9" fillId="3" borderId="10" xfId="3" applyFont="1" applyFill="1" applyBorder="1" applyAlignment="1">
      <alignment horizontal="center"/>
    </xf>
    <xf numFmtId="0" fontId="0" fillId="3" borderId="10" xfId="3" applyFont="1" applyFill="1" applyBorder="1" applyAlignment="1">
      <alignment shrinkToFit="1"/>
    </xf>
    <xf numFmtId="0" fontId="30" fillId="3" borderId="15" xfId="3" applyFont="1" applyFill="1" applyBorder="1"/>
    <xf numFmtId="0" fontId="30" fillId="3" borderId="16" xfId="3" applyFont="1" applyFill="1" applyBorder="1"/>
    <xf numFmtId="0" fontId="30" fillId="3" borderId="17" xfId="3" applyFont="1" applyFill="1" applyBorder="1"/>
    <xf numFmtId="0" fontId="30" fillId="2" borderId="0" xfId="3" applyFont="1" applyFill="1" applyBorder="1"/>
    <xf numFmtId="0" fontId="30" fillId="3" borderId="18" xfId="3" applyFont="1" applyFill="1" applyBorder="1" applyAlignment="1">
      <alignment horizontal="center"/>
    </xf>
    <xf numFmtId="0" fontId="11" fillId="2" borderId="0" xfId="3" applyFont="1" applyFill="1" applyBorder="1" applyAlignment="1">
      <alignment horizontal="right"/>
    </xf>
    <xf numFmtId="0" fontId="31" fillId="2" borderId="0" xfId="3" applyFont="1" applyFill="1" applyBorder="1"/>
    <xf numFmtId="0" fontId="0" fillId="7" borderId="0" xfId="3" applyFont="1" applyFill="1" applyBorder="1" applyAlignment="1">
      <alignment horizontal="left"/>
    </xf>
    <xf numFmtId="0" fontId="0" fillId="7" borderId="0" xfId="3" applyFont="1" applyFill="1" applyBorder="1"/>
    <xf numFmtId="0" fontId="32" fillId="7" borderId="0" xfId="3" applyFont="1" applyFill="1" applyBorder="1" applyAlignment="1">
      <alignment horizontal="center"/>
    </xf>
    <xf numFmtId="0" fontId="0" fillId="7" borderId="0" xfId="3" applyFont="1" applyFill="1" applyBorder="1" applyAlignment="1">
      <alignment horizontal="right"/>
    </xf>
    <xf numFmtId="0" fontId="33" fillId="2" borderId="0" xfId="3" applyFont="1" applyFill="1" applyBorder="1" applyAlignment="1">
      <alignment horizontal="center" vertical="top" wrapText="1"/>
    </xf>
    <xf numFmtId="0" fontId="17" fillId="7" borderId="0" xfId="2" applyFont="1" applyFill="1" applyBorder="1" applyAlignment="1" applyProtection="1"/>
    <xf numFmtId="0" fontId="1" fillId="2" borderId="0" xfId="3" applyFont="1" applyFill="1" applyBorder="1" applyAlignment="1">
      <alignment horizontal="right"/>
    </xf>
    <xf numFmtId="0" fontId="1" fillId="2" borderId="0" xfId="3" applyFont="1" applyFill="1" applyBorder="1" applyAlignment="1">
      <alignment horizontal="center"/>
    </xf>
    <xf numFmtId="0" fontId="34" fillId="2" borderId="0" xfId="3" applyFont="1" applyFill="1" applyBorder="1"/>
    <xf numFmtId="0" fontId="19" fillId="2" borderId="7" xfId="3" applyFont="1" applyFill="1" applyBorder="1"/>
    <xf numFmtId="0" fontId="24" fillId="2" borderId="0" xfId="3" applyFont="1" applyFill="1" applyBorder="1" applyAlignment="1">
      <alignment horizontal="center"/>
    </xf>
    <xf numFmtId="0" fontId="1" fillId="3" borderId="10" xfId="3" applyFont="1" applyFill="1" applyBorder="1" applyAlignment="1">
      <alignment horizontal="center"/>
    </xf>
    <xf numFmtId="0" fontId="1" fillId="3" borderId="6" xfId="3" applyFont="1" applyFill="1" applyBorder="1" applyAlignment="1">
      <alignment horizontal="center" shrinkToFit="1"/>
    </xf>
    <xf numFmtId="0" fontId="24" fillId="2" borderId="0" xfId="3" applyFont="1" applyFill="1" applyBorder="1" applyAlignment="1">
      <alignment horizontal="left"/>
    </xf>
    <xf numFmtId="0" fontId="30" fillId="2" borderId="0" xfId="3" applyFont="1" applyFill="1"/>
    <xf numFmtId="0" fontId="30" fillId="2" borderId="0" xfId="3" applyFont="1" applyFill="1" applyBorder="1" applyAlignment="1">
      <alignment horizontal="right"/>
    </xf>
    <xf numFmtId="0" fontId="30" fillId="2" borderId="0" xfId="3" applyFont="1" applyFill="1" applyBorder="1" applyAlignment="1"/>
    <xf numFmtId="0" fontId="35" fillId="2" borderId="0" xfId="3" applyFont="1" applyFill="1" applyBorder="1"/>
    <xf numFmtId="0" fontId="30" fillId="2" borderId="0" xfId="3" applyFont="1" applyFill="1" applyBorder="1" applyAlignment="1">
      <alignment horizontal="center"/>
    </xf>
    <xf numFmtId="0" fontId="30" fillId="3" borderId="10" xfId="3" applyFont="1" applyFill="1" applyBorder="1"/>
    <xf numFmtId="0" fontId="36" fillId="2" borderId="0" xfId="3" applyFont="1" applyFill="1" applyBorder="1"/>
    <xf numFmtId="0" fontId="30" fillId="3" borderId="6" xfId="3" applyFont="1" applyFill="1" applyBorder="1"/>
    <xf numFmtId="0" fontId="37" fillId="3" borderId="17" xfId="3" applyFont="1" applyFill="1" applyBorder="1" applyAlignment="1">
      <alignment vertical="top" wrapText="1"/>
    </xf>
    <xf numFmtId="0" fontId="24" fillId="2" borderId="0" xfId="3" applyFont="1" applyFill="1" applyBorder="1" applyAlignment="1"/>
    <xf numFmtId="0" fontId="0" fillId="0" borderId="0" xfId="0" applyFont="1" applyBorder="1" applyAlignment="1">
      <alignment vertical="center" wrapText="1"/>
    </xf>
    <xf numFmtId="0" fontId="38" fillId="3" borderId="17" xfId="3" applyFont="1" applyFill="1" applyBorder="1" applyAlignment="1">
      <alignment vertical="top" wrapText="1"/>
    </xf>
    <xf numFmtId="0" fontId="39" fillId="2" borderId="0" xfId="3" applyFont="1" applyFill="1" applyBorder="1" applyAlignment="1">
      <alignment vertical="top" wrapText="1"/>
    </xf>
    <xf numFmtId="0" fontId="0" fillId="2" borderId="0" xfId="3" applyFont="1" applyFill="1" applyBorder="1" applyAlignment="1">
      <alignment horizontal="center" vertical="center"/>
    </xf>
    <xf numFmtId="0" fontId="0" fillId="0" borderId="0" xfId="3" applyFont="1" applyBorder="1" applyAlignment="1">
      <alignment horizontal="center" vertical="center"/>
    </xf>
    <xf numFmtId="0" fontId="0" fillId="2" borderId="0" xfId="3" applyFont="1" applyFill="1" applyBorder="1" applyAlignment="1">
      <alignment horizontal="center" vertical="center" wrapText="1"/>
    </xf>
    <xf numFmtId="0" fontId="0" fillId="0" borderId="0" xfId="3" applyFont="1" applyBorder="1" applyAlignment="1">
      <alignment horizontal="center" vertical="center" wrapText="1"/>
    </xf>
    <xf numFmtId="0" fontId="16" fillId="2" borderId="0" xfId="3" applyFont="1" applyFill="1" applyBorder="1" applyAlignment="1">
      <alignment horizontal="center" vertical="center" wrapText="1"/>
    </xf>
    <xf numFmtId="0" fontId="40" fillId="2" borderId="0" xfId="3" applyFont="1" applyFill="1" applyBorder="1" applyAlignment="1">
      <alignment vertical="center" wrapText="1"/>
    </xf>
    <xf numFmtId="0" fontId="16" fillId="0" borderId="0" xfId="3" applyFont="1" applyBorder="1" applyAlignment="1">
      <alignment horizontal="center" vertical="center" wrapText="1"/>
    </xf>
    <xf numFmtId="0" fontId="40" fillId="0" borderId="0" xfId="3" applyFont="1" applyBorder="1" applyAlignment="1">
      <alignment horizontal="center" vertical="center" wrapText="1"/>
    </xf>
    <xf numFmtId="0" fontId="0" fillId="0" borderId="0" xfId="3" applyFont="1" applyBorder="1"/>
    <xf numFmtId="0" fontId="12" fillId="0" borderId="0" xfId="3" applyFont="1" applyBorder="1" applyAlignment="1">
      <alignment horizontal="center" vertical="center" wrapText="1"/>
    </xf>
    <xf numFmtId="0" fontId="0" fillId="3" borderId="16" xfId="3" applyFont="1" applyFill="1" applyBorder="1" applyAlignment="1">
      <alignment horizontal="center"/>
    </xf>
    <xf numFmtId="0" fontId="0" fillId="4" borderId="15" xfId="3" applyFont="1" applyFill="1" applyBorder="1" applyAlignment="1">
      <alignment horizontal="center"/>
    </xf>
    <xf numFmtId="0" fontId="0" fillId="4" borderId="16" xfId="3" applyFont="1" applyFill="1" applyBorder="1" applyAlignment="1">
      <alignment horizontal="center"/>
    </xf>
    <xf numFmtId="0" fontId="0" fillId="4" borderId="17" xfId="3" applyFont="1" applyFill="1" applyBorder="1" applyAlignment="1">
      <alignment horizontal="center"/>
    </xf>
    <xf numFmtId="0" fontId="38" fillId="0" borderId="0" xfId="3" applyFont="1" applyBorder="1" applyAlignment="1">
      <alignment horizontal="center" vertical="top" wrapText="1"/>
    </xf>
    <xf numFmtId="0" fontId="0" fillId="3" borderId="10" xfId="3" applyFont="1" applyFill="1" applyBorder="1" applyAlignment="1"/>
    <xf numFmtId="0" fontId="0" fillId="3" borderId="18" xfId="3" applyFont="1" applyFill="1" applyBorder="1" applyAlignment="1"/>
    <xf numFmtId="0" fontId="38" fillId="3" borderId="25" xfId="3" applyFont="1" applyFill="1" applyBorder="1" applyAlignment="1">
      <alignment vertical="top" wrapText="1"/>
    </xf>
    <xf numFmtId="0" fontId="38" fillId="0" borderId="0" xfId="3" applyFont="1" applyBorder="1" applyAlignment="1">
      <alignment vertical="top" wrapText="1"/>
    </xf>
    <xf numFmtId="0" fontId="0" fillId="2" borderId="0" xfId="3" applyFont="1" applyFill="1" applyBorder="1" applyAlignment="1">
      <alignment vertical="center" wrapText="1"/>
    </xf>
    <xf numFmtId="0" fontId="0" fillId="0" borderId="0" xfId="3" applyFont="1" applyBorder="1" applyAlignment="1">
      <alignment vertical="center" wrapText="1"/>
    </xf>
    <xf numFmtId="0" fontId="0" fillId="3" borderId="16" xfId="3" applyFont="1" applyFill="1" applyBorder="1" applyAlignment="1"/>
    <xf numFmtId="0" fontId="0" fillId="2" borderId="0" xfId="3" applyFont="1" applyFill="1" applyBorder="1" applyAlignment="1">
      <alignment horizontal="left" wrapText="1"/>
    </xf>
    <xf numFmtId="0" fontId="41" fillId="2" borderId="0" xfId="3" applyFont="1" applyFill="1" applyBorder="1" applyAlignment="1">
      <alignment horizontal="left" wrapText="1"/>
    </xf>
    <xf numFmtId="0" fontId="41" fillId="2" borderId="0" xfId="3" applyFont="1" applyFill="1" applyBorder="1" applyAlignment="1">
      <alignment horizontal="left"/>
    </xf>
    <xf numFmtId="0" fontId="41" fillId="2" borderId="0" xfId="3" applyFont="1" applyFill="1" applyBorder="1"/>
    <xf numFmtId="0" fontId="42" fillId="2" borderId="0" xfId="3" applyFont="1" applyFill="1" applyBorder="1"/>
    <xf numFmtId="0" fontId="0" fillId="2" borderId="10" xfId="3" applyFont="1" applyFill="1" applyBorder="1"/>
    <xf numFmtId="0" fontId="30" fillId="2" borderId="0" xfId="3" applyFont="1" applyFill="1" applyBorder="1" applyAlignment="1">
      <alignment textRotation="180"/>
    </xf>
    <xf numFmtId="0" fontId="43" fillId="2" borderId="0" xfId="3" applyFont="1" applyFill="1" applyBorder="1"/>
    <xf numFmtId="0" fontId="27" fillId="2" borderId="0" xfId="3" applyFont="1" applyFill="1" applyBorder="1" applyAlignment="1"/>
    <xf numFmtId="0" fontId="7" fillId="2" borderId="3" xfId="3" applyFont="1" applyFill="1" applyBorder="1"/>
    <xf numFmtId="1" fontId="1" fillId="3" borderId="6" xfId="3" applyNumberFormat="1" applyFont="1" applyFill="1" applyBorder="1" applyAlignment="1">
      <alignment horizontal="left"/>
    </xf>
    <xf numFmtId="0" fontId="21" fillId="2" borderId="0" xfId="3" applyFont="1" applyFill="1" applyBorder="1" applyAlignment="1">
      <alignment horizontal="left"/>
    </xf>
    <xf numFmtId="0" fontId="9" fillId="2" borderId="0" xfId="3" applyFont="1" applyFill="1" applyBorder="1" applyAlignment="1">
      <alignment horizontal="right"/>
    </xf>
    <xf numFmtId="1" fontId="0" fillId="6" borderId="6" xfId="3" applyNumberFormat="1" applyFont="1" applyFill="1" applyBorder="1" applyAlignment="1">
      <alignment horizontal="right"/>
    </xf>
    <xf numFmtId="1" fontId="0" fillId="3" borderId="10" xfId="3" applyNumberFormat="1" applyFont="1" applyFill="1" applyBorder="1" applyAlignment="1">
      <alignment horizontal="right"/>
    </xf>
    <xf numFmtId="0" fontId="16" fillId="2" borderId="0" xfId="3" applyFont="1" applyFill="1" applyBorder="1" applyAlignment="1">
      <alignment horizontal="left" wrapText="1"/>
    </xf>
    <xf numFmtId="164" fontId="0" fillId="3" borderId="10" xfId="3" applyNumberFormat="1" applyFont="1" applyFill="1" applyBorder="1" applyAlignment="1">
      <alignment horizontal="right"/>
    </xf>
    <xf numFmtId="0" fontId="7" fillId="2" borderId="2" xfId="3" applyFont="1" applyFill="1" applyBorder="1" applyAlignment="1">
      <alignment horizontal="left"/>
    </xf>
    <xf numFmtId="0" fontId="0" fillId="3" borderId="0" xfId="0" applyFill="1"/>
    <xf numFmtId="0" fontId="0" fillId="0" borderId="0" xfId="0"/>
    <xf numFmtId="0" fontId="44" fillId="0" borderId="0" xfId="3" applyFont="1"/>
    <xf numFmtId="0" fontId="1" fillId="0" borderId="0" xfId="3" applyFont="1"/>
    <xf numFmtId="0" fontId="34" fillId="0" borderId="0" xfId="0" applyFont="1"/>
    <xf numFmtId="0" fontId="1" fillId="0" borderId="0" xfId="0" applyFont="1"/>
    <xf numFmtId="0" fontId="0" fillId="0" borderId="26" xfId="0" applyFont="1" applyBorder="1"/>
    <xf numFmtId="0" fontId="0" fillId="3" borderId="0" xfId="0" applyFont="1" applyFill="1"/>
    <xf numFmtId="166" fontId="45" fillId="0" borderId="26" xfId="1" applyNumberFormat="1" applyFont="1" applyBorder="1" applyAlignment="1" applyProtection="1">
      <alignment vertical="top"/>
    </xf>
    <xf numFmtId="0" fontId="0" fillId="8" borderId="0" xfId="0" applyFill="1"/>
    <xf numFmtId="166" fontId="45" fillId="0" borderId="26" xfId="1" applyNumberFormat="1" applyFont="1" applyBorder="1" applyAlignment="1" applyProtection="1">
      <alignment horizontal="right" vertical="top"/>
    </xf>
    <xf numFmtId="0" fontId="46" fillId="0" borderId="0" xfId="0" applyFont="1"/>
    <xf numFmtId="0" fontId="0" fillId="0" borderId="27" xfId="0" applyBorder="1"/>
    <xf numFmtId="0" fontId="0" fillId="0" borderId="28" xfId="0" applyBorder="1"/>
    <xf numFmtId="0" fontId="0" fillId="0" borderId="29" xfId="0" applyBorder="1"/>
    <xf numFmtId="0" fontId="0" fillId="0" borderId="30" xfId="0" applyFont="1" applyBorder="1"/>
    <xf numFmtId="0" fontId="0" fillId="0" borderId="31" xfId="0" applyBorder="1"/>
    <xf numFmtId="0" fontId="0" fillId="0" borderId="0" xfId="0" applyBorder="1"/>
    <xf numFmtId="0" fontId="0" fillId="0" borderId="32" xfId="0" applyBorder="1"/>
    <xf numFmtId="0" fontId="0" fillId="0" borderId="33" xfId="0" applyBorder="1"/>
    <xf numFmtId="0" fontId="9" fillId="0" borderId="0" xfId="0" applyFont="1"/>
    <xf numFmtId="0" fontId="44" fillId="0" borderId="0" xfId="3" applyFont="1" applyBorder="1"/>
    <xf numFmtId="0" fontId="0" fillId="0" borderId="31" xfId="0" applyFont="1" applyBorder="1"/>
    <xf numFmtId="0" fontId="0" fillId="0" borderId="34" xfId="0" applyBorder="1"/>
    <xf numFmtId="0" fontId="0" fillId="0" borderId="35" xfId="0" applyBorder="1"/>
    <xf numFmtId="0" fontId="0" fillId="0" borderId="35" xfId="0" applyFont="1" applyBorder="1"/>
    <xf numFmtId="0" fontId="0" fillId="0" borderId="36" xfId="0" applyBorder="1"/>
    <xf numFmtId="0" fontId="47" fillId="9" borderId="26" xfId="3" applyFont="1" applyFill="1" applyBorder="1" applyAlignment="1">
      <alignment horizontal="center" wrapText="1"/>
    </xf>
    <xf numFmtId="0" fontId="47" fillId="2" borderId="26" xfId="3" applyFont="1" applyFill="1" applyBorder="1" applyAlignment="1">
      <alignment horizontal="center"/>
    </xf>
    <xf numFmtId="0" fontId="0" fillId="6" borderId="0" xfId="3" applyFont="1" applyFill="1"/>
    <xf numFmtId="0" fontId="9" fillId="0" borderId="0" xfId="3" applyFont="1"/>
    <xf numFmtId="0" fontId="48" fillId="0" borderId="26" xfId="3" applyFont="1" applyBorder="1" applyAlignment="1">
      <alignment horizontal="center" vertical="center" wrapText="1"/>
    </xf>
    <xf numFmtId="0" fontId="49" fillId="0" borderId="26" xfId="3" applyFont="1" applyBorder="1"/>
    <xf numFmtId="0" fontId="47" fillId="0" borderId="26" xfId="3" applyFont="1" applyBorder="1" applyAlignment="1">
      <alignment horizontal="left" wrapText="1"/>
    </xf>
    <xf numFmtId="0" fontId="47" fillId="0" borderId="30" xfId="3" applyFont="1" applyBorder="1" applyAlignment="1">
      <alignment horizontal="left" wrapText="1"/>
    </xf>
    <xf numFmtId="0" fontId="47" fillId="0" borderId="26" xfId="3" applyFont="1" applyBorder="1" applyAlignment="1">
      <alignment horizontal="center" vertical="center" wrapText="1"/>
    </xf>
    <xf numFmtId="0" fontId="47" fillId="0" borderId="26" xfId="3" applyFont="1" applyBorder="1" applyAlignment="1">
      <alignment horizontal="center" vertical="center"/>
    </xf>
    <xf numFmtId="0" fontId="47" fillId="2" borderId="26" xfId="3" applyFont="1" applyFill="1" applyBorder="1" applyAlignment="1">
      <alignment horizontal="left"/>
    </xf>
    <xf numFmtId="0" fontId="47" fillId="0" borderId="26" xfId="3" applyFont="1" applyBorder="1" applyAlignment="1">
      <alignment horizontal="left" vertical="center"/>
    </xf>
    <xf numFmtId="0" fontId="47" fillId="0" borderId="26" xfId="3" applyFont="1" applyBorder="1" applyAlignment="1">
      <alignment horizontal="left" vertical="center" wrapText="1"/>
    </xf>
    <xf numFmtId="0" fontId="48" fillId="0" borderId="26" xfId="3" applyFont="1" applyBorder="1" applyAlignment="1">
      <alignment horizontal="center" vertical="center"/>
    </xf>
    <xf numFmtId="0" fontId="0" fillId="0" borderId="0" xfId="3" applyFont="1" applyAlignment="1">
      <alignment horizontal="left" vertical="top" wrapText="1"/>
    </xf>
    <xf numFmtId="0" fontId="0" fillId="0" borderId="0" xfId="3" applyFont="1"/>
    <xf numFmtId="0" fontId="25" fillId="0" borderId="0" xfId="0" applyFont="1" applyAlignment="1">
      <alignment vertical="center"/>
    </xf>
    <xf numFmtId="0" fontId="0" fillId="0" borderId="0" xfId="3" applyFont="1" applyBorder="1" applyAlignment="1">
      <alignment horizontal="left" vertical="center"/>
    </xf>
    <xf numFmtId="0" fontId="1" fillId="0" borderId="0" xfId="3" applyFont="1" applyBorder="1" applyAlignment="1">
      <alignment horizontal="center" vertical="center"/>
    </xf>
    <xf numFmtId="0" fontId="17" fillId="0" borderId="0" xfId="2"/>
    <xf numFmtId="0" fontId="53" fillId="0" borderId="0" xfId="0" applyFont="1"/>
    <xf numFmtId="0" fontId="0" fillId="3" borderId="10" xfId="3" applyFont="1" applyFill="1" applyBorder="1" applyAlignment="1">
      <alignment horizontal="center"/>
    </xf>
    <xf numFmtId="0" fontId="38" fillId="3" borderId="25" xfId="3" applyFont="1" applyFill="1" applyBorder="1" applyAlignment="1">
      <alignment horizontal="center" vertical="top" wrapText="1"/>
    </xf>
    <xf numFmtId="0" fontId="40" fillId="2" borderId="0" xfId="3" applyFont="1" applyFill="1" applyBorder="1" applyAlignment="1">
      <alignment horizontal="center" vertical="center" wrapText="1"/>
    </xf>
    <xf numFmtId="0" fontId="48" fillId="0" borderId="26" xfId="3" applyFont="1" applyBorder="1" applyAlignment="1">
      <alignment horizontal="center" vertical="center" wrapText="1"/>
    </xf>
  </cellXfs>
  <cellStyles count="4">
    <cellStyle name="Comma" xfId="1" builtinId="3"/>
    <cellStyle name="Hyperlink" xfId="2" builtinId="8"/>
    <cellStyle name="Normal" xfId="0" builtinId="0"/>
    <cellStyle name="TableStyleLight1" xfId="3"/>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C0504D"/>
      <rgbColor rgb="FFF2F2F2"/>
      <rgbColor rgb="FFDBEEF4"/>
      <rgbColor rgb="FF660066"/>
      <rgbColor rgb="FFFF8080"/>
      <rgbColor rgb="FF0070C0"/>
      <rgbColor rgb="FFB7DEE8"/>
      <rgbColor rgb="FF000080"/>
      <rgbColor rgb="FFFF00FF"/>
      <rgbColor rgb="FFFFFF00"/>
      <rgbColor rgb="FF00FFFF"/>
      <rgbColor rgb="FF800080"/>
      <rgbColor rgb="FF800000"/>
      <rgbColor rgb="FF008080"/>
      <rgbColor rgb="FF0000FF"/>
      <rgbColor rgb="FF00CCFF"/>
      <rgbColor rgb="FFDEEBF7"/>
      <rgbColor rgb="FFCCFFCC"/>
      <rgbColor rgb="FFFFFF99"/>
      <rgbColor rgb="FFBFBFBF"/>
      <rgbColor rgb="FFFF99CC"/>
      <rgbColor rgb="FFCC99FF"/>
      <rgbColor rgb="FFFFCC99"/>
      <rgbColor rgb="FF3366FF"/>
      <rgbColor rgb="FF33CCCC"/>
      <rgbColor rgb="FF9BBB59"/>
      <rgbColor rgb="FFFFCC00"/>
      <rgbColor rgb="FFFF9900"/>
      <rgbColor rgb="FFFF6600"/>
      <rgbColor rgb="FF7F7F7F"/>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16920</xdr:colOff>
      <xdr:row>51</xdr:row>
      <xdr:rowOff>125640</xdr:rowOff>
    </xdr:from>
    <xdr:to>
      <xdr:col>26</xdr:col>
      <xdr:colOff>163800</xdr:colOff>
      <xdr:row>64</xdr:row>
      <xdr:rowOff>77040</xdr:rowOff>
    </xdr:to>
    <xdr:pic>
      <xdr:nvPicPr>
        <xdr:cNvPr id="2" name="Picture 3"/>
        <xdr:cNvPicPr/>
      </xdr:nvPicPr>
      <xdr:blipFill>
        <a:blip xmlns:r="http://schemas.openxmlformats.org/officeDocument/2006/relationships" r:embed="rId1" cstate="print"/>
        <a:stretch>
          <a:fillRect/>
        </a:stretch>
      </xdr:blipFill>
      <xdr:spPr>
        <a:xfrm>
          <a:off x="11181240" y="8755200"/>
          <a:ext cx="7019640" cy="2056320"/>
        </a:xfrm>
        <a:prstGeom prst="rect">
          <a:avLst/>
        </a:prstGeom>
        <a:ln w="9360">
          <a:noFill/>
        </a:ln>
      </xdr:spPr>
    </xdr:pic>
    <xdr:clientData/>
  </xdr:twoCellAnchor>
  <xdr:twoCellAnchor editAs="oneCell">
    <xdr:from>
      <xdr:col>17</xdr:col>
      <xdr:colOff>108000</xdr:colOff>
      <xdr:row>66</xdr:row>
      <xdr:rowOff>126000</xdr:rowOff>
    </xdr:from>
    <xdr:to>
      <xdr:col>26</xdr:col>
      <xdr:colOff>516240</xdr:colOff>
      <xdr:row>87</xdr:row>
      <xdr:rowOff>114840</xdr:rowOff>
    </xdr:to>
    <xdr:pic>
      <xdr:nvPicPr>
        <xdr:cNvPr id="3" name="Picture 4"/>
        <xdr:cNvPicPr/>
      </xdr:nvPicPr>
      <xdr:blipFill>
        <a:blip xmlns:r="http://schemas.openxmlformats.org/officeDocument/2006/relationships" r:embed="rId2" cstate="print"/>
        <a:stretch>
          <a:fillRect/>
        </a:stretch>
      </xdr:blipFill>
      <xdr:spPr>
        <a:xfrm>
          <a:off x="11272320" y="11184480"/>
          <a:ext cx="7281000" cy="338904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54000</xdr:colOff>
      <xdr:row>0</xdr:row>
      <xdr:rowOff>0</xdr:rowOff>
    </xdr:from>
    <xdr:to>
      <xdr:col>5</xdr:col>
      <xdr:colOff>1596240</xdr:colOff>
      <xdr:row>57</xdr:row>
      <xdr:rowOff>123120</xdr:rowOff>
    </xdr:to>
    <xdr:sp macro="" textlink="">
      <xdr:nvSpPr>
        <xdr:cNvPr id="4" name="CustomShape 1"/>
        <xdr:cNvSpPr/>
      </xdr:nvSpPr>
      <xdr:spPr>
        <a:xfrm>
          <a:off x="54000" y="0"/>
          <a:ext cx="9988920" cy="9524160"/>
        </a:xfrm>
        <a:prstGeom prst="rect">
          <a:avLst/>
        </a:prstGeom>
        <a:solidFill>
          <a:srgbClr val="FFFFFF"/>
        </a:solidFill>
        <a:ln w="9360">
          <a:solidFill>
            <a:srgbClr val="000000"/>
          </a:solidFill>
          <a:miter/>
        </a:ln>
      </xdr:spPr>
    </xdr:sp>
    <xdr:clientData/>
  </xdr:twoCellAnchor>
  <xdr:twoCellAnchor editAs="oneCell">
    <xdr:from>
      <xdr:col>0</xdr:col>
      <xdr:colOff>54000</xdr:colOff>
      <xdr:row>0</xdr:row>
      <xdr:rowOff>0</xdr:rowOff>
    </xdr:from>
    <xdr:to>
      <xdr:col>5</xdr:col>
      <xdr:colOff>1596240</xdr:colOff>
      <xdr:row>57</xdr:row>
      <xdr:rowOff>123120</xdr:rowOff>
    </xdr:to>
    <xdr:sp macro="" textlink="">
      <xdr:nvSpPr>
        <xdr:cNvPr id="5" name="CustomShape 1"/>
        <xdr:cNvSpPr/>
      </xdr:nvSpPr>
      <xdr:spPr>
        <a:xfrm>
          <a:off x="54000" y="0"/>
          <a:ext cx="9988920" cy="9524160"/>
        </a:xfrm>
        <a:prstGeom prst="rect">
          <a:avLst/>
        </a:prstGeom>
        <a:solidFill>
          <a:srgbClr val="FFFFFF"/>
        </a:solidFill>
        <a:ln w="9360">
          <a:solidFill>
            <a:srgbClr val="000000"/>
          </a:solidFill>
          <a:round/>
        </a:ln>
      </xdr:spPr>
    </xdr:sp>
    <xdr:clientData/>
  </xdr:twoCellAnchor>
  <xdr:twoCellAnchor>
    <xdr:from>
      <xdr:col>0</xdr:col>
      <xdr:colOff>0</xdr:colOff>
      <xdr:row>0</xdr:row>
      <xdr:rowOff>0</xdr:rowOff>
    </xdr:from>
    <xdr:to>
      <xdr:col>5</xdr:col>
      <xdr:colOff>1543050</xdr:colOff>
      <xdr:row>57</xdr:row>
      <xdr:rowOff>123825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1543050</xdr:colOff>
      <xdr:row>57</xdr:row>
      <xdr:rowOff>123825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erre.deguelle@escaux.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D936"/>
  <sheetViews>
    <sheetView tabSelected="1" zoomScale="90" zoomScaleNormal="90" workbookViewId="0">
      <selection activeCell="AD12" sqref="AD12"/>
    </sheetView>
  </sheetViews>
  <sheetFormatPr defaultRowHeight="12.75" x14ac:dyDescent="0.2"/>
  <cols>
    <col min="7" max="7" width="10.7109375" customWidth="1"/>
  </cols>
  <sheetData>
    <row r="3" spans="1:40" ht="25.5" x14ac:dyDescent="0.2">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0" ht="26.25" x14ac:dyDescent="0.4">
      <c r="B4" s="5" t="s">
        <v>1</v>
      </c>
      <c r="C4" s="5"/>
      <c r="D4" s="5"/>
      <c r="E4" s="5"/>
      <c r="F4" s="5"/>
      <c r="G4" s="5"/>
      <c r="H4" s="5"/>
      <c r="I4" s="5"/>
      <c r="J4" s="5"/>
      <c r="K4" s="5"/>
      <c r="L4" s="5"/>
      <c r="M4" s="5"/>
      <c r="N4" s="5"/>
      <c r="O4" s="5"/>
      <c r="P4" s="5"/>
      <c r="Q4" s="5"/>
      <c r="R4" s="5"/>
      <c r="S4" s="6" t="s">
        <v>2</v>
      </c>
      <c r="T4" s="5"/>
      <c r="U4" s="5"/>
      <c r="V4" s="5"/>
      <c r="W4" s="5"/>
      <c r="X4" s="5"/>
      <c r="Y4" s="5"/>
      <c r="Z4" s="5"/>
      <c r="AA4" s="5"/>
      <c r="AB4" s="5"/>
      <c r="AC4" s="7"/>
      <c r="AD4" s="5"/>
      <c r="AE4" s="7"/>
      <c r="AF4" s="8"/>
      <c r="AG4" s="7"/>
      <c r="AH4" s="8"/>
      <c r="AI4" s="7"/>
      <c r="AJ4" s="8"/>
      <c r="AK4" s="7"/>
      <c r="AL4" s="9" t="s">
        <v>3</v>
      </c>
      <c r="AM4" s="8">
        <f>IF(S11&lt;&gt;"",S11,"")</f>
        <v>4</v>
      </c>
      <c r="AN4" s="10"/>
    </row>
    <row r="5" spans="1:40"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40" ht="15.75" x14ac:dyDescent="0.25">
      <c r="A6" s="11"/>
      <c r="B6" s="5"/>
      <c r="C6" s="5"/>
      <c r="D6" s="5"/>
      <c r="E6" s="5"/>
      <c r="F6" s="5"/>
      <c r="G6" s="5"/>
      <c r="H6" s="5"/>
      <c r="I6" s="5"/>
      <c r="J6" s="5"/>
      <c r="K6" s="5"/>
      <c r="L6" s="5"/>
      <c r="M6" s="5"/>
      <c r="N6" s="5"/>
      <c r="O6" s="5"/>
      <c r="P6" s="5"/>
      <c r="Q6" s="5"/>
      <c r="R6" s="5"/>
      <c r="S6" s="5"/>
      <c r="T6" s="5"/>
      <c r="U6" s="5"/>
      <c r="V6" s="5"/>
      <c r="W6" s="5"/>
      <c r="X6" s="5"/>
      <c r="Y6" s="5"/>
      <c r="Z6" s="5"/>
      <c r="AA6" s="5"/>
      <c r="AB6" s="5"/>
      <c r="AC6" s="12"/>
      <c r="AD6" s="5"/>
      <c r="AE6" s="5"/>
      <c r="AF6" s="5"/>
      <c r="AM6" s="13"/>
    </row>
    <row r="7" spans="1:40" ht="15.75" x14ac:dyDescent="0.25">
      <c r="A7" s="11"/>
      <c r="B7" s="13" t="s">
        <v>4</v>
      </c>
      <c r="C7" s="5"/>
      <c r="D7" s="5"/>
      <c r="E7" s="5"/>
      <c r="F7" s="5"/>
      <c r="G7" s="5"/>
      <c r="H7" s="5"/>
      <c r="I7" s="5"/>
      <c r="J7" s="5"/>
      <c r="K7" s="5"/>
      <c r="L7" s="5"/>
      <c r="M7" s="5"/>
      <c r="N7" s="5"/>
      <c r="O7" s="5"/>
      <c r="P7" s="5"/>
      <c r="Q7" s="5"/>
      <c r="R7" s="5"/>
      <c r="S7" s="5"/>
      <c r="T7" s="5"/>
      <c r="U7" s="5"/>
      <c r="V7" s="5"/>
      <c r="W7" s="5"/>
      <c r="X7" s="5"/>
      <c r="Y7" s="5"/>
      <c r="Z7" s="5"/>
      <c r="AA7" s="5"/>
      <c r="AB7" s="5"/>
      <c r="AC7" s="12"/>
      <c r="AD7" s="5"/>
      <c r="AE7" s="5"/>
      <c r="AF7" s="5"/>
      <c r="AM7" s="13"/>
    </row>
    <row r="8" spans="1:40" ht="15.75" x14ac:dyDescent="0.25">
      <c r="A8" s="11"/>
      <c r="B8" s="13" t="s">
        <v>5</v>
      </c>
      <c r="C8" s="5"/>
      <c r="D8" s="5"/>
      <c r="E8" s="5"/>
      <c r="F8" s="5"/>
      <c r="G8" s="5"/>
      <c r="H8" s="5"/>
      <c r="I8" s="5"/>
      <c r="J8" s="5"/>
      <c r="K8" s="5"/>
      <c r="L8" s="5"/>
      <c r="M8" s="5"/>
      <c r="N8" s="5"/>
      <c r="O8" s="5"/>
      <c r="P8" s="5"/>
      <c r="Q8" s="5"/>
      <c r="R8" s="5"/>
      <c r="S8" s="5"/>
      <c r="T8" s="5"/>
      <c r="U8" s="5"/>
      <c r="V8" s="5"/>
      <c r="W8" s="5"/>
      <c r="X8" s="5"/>
      <c r="Y8" s="5"/>
      <c r="Z8" s="5"/>
      <c r="AA8" s="5"/>
      <c r="AB8" s="5"/>
      <c r="AC8" s="12"/>
      <c r="AD8" s="5"/>
      <c r="AE8" s="5"/>
      <c r="AF8" s="5"/>
      <c r="AM8" s="13"/>
    </row>
    <row r="9" spans="1:40" ht="15.75" x14ac:dyDescent="0.25">
      <c r="A9" s="11"/>
      <c r="B9" s="5"/>
      <c r="C9" s="5"/>
      <c r="D9" s="5"/>
      <c r="E9" s="5"/>
      <c r="F9" s="5"/>
      <c r="G9" s="5"/>
      <c r="H9" s="5"/>
      <c r="I9" s="5"/>
      <c r="J9" s="5"/>
      <c r="K9" s="5"/>
      <c r="L9" s="5"/>
      <c r="M9" s="5"/>
      <c r="N9" s="5"/>
      <c r="O9" s="5"/>
      <c r="P9" s="5"/>
      <c r="Q9" s="5"/>
      <c r="R9" s="5"/>
      <c r="S9" s="5"/>
      <c r="T9" s="5"/>
      <c r="U9" s="5"/>
      <c r="V9" s="5"/>
      <c r="W9" s="5"/>
      <c r="X9" s="5"/>
      <c r="Y9" s="5"/>
      <c r="Z9" s="5"/>
      <c r="AA9" s="5"/>
      <c r="AB9" s="5"/>
      <c r="AC9" s="12"/>
      <c r="AD9" s="5"/>
      <c r="AE9" s="14"/>
      <c r="AF9" s="14"/>
      <c r="AG9" s="14"/>
      <c r="AH9" s="14"/>
      <c r="AI9" s="14"/>
      <c r="AJ9" s="14"/>
      <c r="AK9" s="14"/>
      <c r="AL9" s="14"/>
      <c r="AM9" s="15"/>
    </row>
    <row r="10" spans="1:40" ht="15.75" x14ac:dyDescent="0.25">
      <c r="A10" s="11"/>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8"/>
      <c r="AD10" s="17"/>
      <c r="AE10" s="5"/>
      <c r="AF10" s="5"/>
      <c r="AM10" s="19"/>
    </row>
    <row r="11" spans="1:40" ht="15.75" x14ac:dyDescent="0.25">
      <c r="A11" s="11"/>
      <c r="B11" s="20"/>
      <c r="C11" s="21" t="s">
        <v>6</v>
      </c>
      <c r="D11" s="5"/>
      <c r="E11" s="5"/>
      <c r="F11" s="5"/>
      <c r="G11" s="5"/>
      <c r="H11" s="5"/>
      <c r="I11" s="5"/>
      <c r="J11" s="5"/>
      <c r="K11" s="5"/>
      <c r="L11" s="5"/>
      <c r="M11" s="5"/>
      <c r="N11" s="5"/>
      <c r="O11" s="5"/>
      <c r="P11" s="5"/>
      <c r="Q11" s="5"/>
      <c r="S11" s="22">
        <v>4</v>
      </c>
      <c r="T11" s="22"/>
      <c r="U11" s="5"/>
      <c r="V11" s="5"/>
      <c r="W11" s="5"/>
      <c r="X11" s="5"/>
      <c r="Y11" s="5"/>
      <c r="Z11" s="5"/>
      <c r="AA11" s="5"/>
      <c r="AB11" s="5"/>
      <c r="AC11" s="12"/>
      <c r="AD11" s="5"/>
      <c r="AE11" s="5"/>
      <c r="AF11" s="5"/>
      <c r="AM11" s="23"/>
    </row>
    <row r="12" spans="1:40" ht="15.75" x14ac:dyDescent="0.25">
      <c r="A12" s="11"/>
      <c r="B12" s="20"/>
      <c r="C12" s="21"/>
      <c r="D12" s="5"/>
      <c r="E12" s="5"/>
      <c r="F12" s="5"/>
      <c r="G12" s="5"/>
      <c r="H12" s="5"/>
      <c r="I12" s="5"/>
      <c r="J12" s="5"/>
      <c r="K12" s="5"/>
      <c r="L12" s="5"/>
      <c r="M12" s="5"/>
      <c r="N12" s="5"/>
      <c r="O12" s="5"/>
      <c r="P12" s="5"/>
      <c r="Q12" s="5"/>
      <c r="T12" s="5"/>
      <c r="W12" s="5"/>
      <c r="X12" s="5"/>
      <c r="AA12" s="5"/>
      <c r="AB12" s="5"/>
      <c r="AC12" s="12"/>
      <c r="AD12" s="5"/>
      <c r="AE12" s="5"/>
      <c r="AF12" s="5"/>
      <c r="AM12" s="23"/>
    </row>
    <row r="13" spans="1:40" ht="15.75" x14ac:dyDescent="0.25">
      <c r="A13" s="11"/>
      <c r="B13" s="20"/>
      <c r="C13" s="5" t="s">
        <v>7</v>
      </c>
      <c r="D13" s="5"/>
      <c r="E13" s="5"/>
      <c r="F13" s="5"/>
      <c r="G13" s="5"/>
      <c r="H13" s="5"/>
      <c r="I13" s="5"/>
      <c r="J13" s="5"/>
      <c r="K13" s="5"/>
      <c r="L13" s="5"/>
      <c r="M13" s="5"/>
      <c r="N13" s="5"/>
      <c r="O13" s="5"/>
      <c r="P13" s="5"/>
      <c r="Q13" s="5"/>
      <c r="R13" s="5"/>
      <c r="S13" s="5"/>
      <c r="T13" s="5"/>
      <c r="Z13" s="5"/>
      <c r="AA13" s="22" t="s">
        <v>1186</v>
      </c>
      <c r="AB13" s="22"/>
      <c r="AC13" s="12"/>
      <c r="AD13" s="5"/>
      <c r="AE13" s="5"/>
      <c r="AF13" s="5"/>
      <c r="AM13" s="23"/>
    </row>
    <row r="14" spans="1:40" ht="15.75" x14ac:dyDescent="0.25">
      <c r="A14" s="11"/>
      <c r="B14" s="2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25"/>
      <c r="AD14" s="14"/>
      <c r="AE14" s="14"/>
      <c r="AF14" s="14"/>
      <c r="AG14" s="14"/>
      <c r="AH14" s="14"/>
      <c r="AI14" s="14"/>
      <c r="AJ14" s="14"/>
      <c r="AK14" s="14"/>
      <c r="AL14" s="14"/>
      <c r="AM14" s="26"/>
    </row>
    <row r="15" spans="1:40" ht="15.75" x14ac:dyDescent="0.25">
      <c r="A15" s="1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12"/>
      <c r="AD15" s="5"/>
      <c r="AE15" s="14"/>
      <c r="AF15" s="14"/>
      <c r="AG15" s="14"/>
      <c r="AH15" s="14"/>
      <c r="AI15" s="14"/>
      <c r="AJ15" s="14"/>
      <c r="AK15" s="14"/>
      <c r="AL15" s="14"/>
      <c r="AM15" s="15"/>
    </row>
    <row r="16" spans="1:40" ht="15.75" x14ac:dyDescent="0.25">
      <c r="A16" s="11"/>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8"/>
      <c r="AD16" s="17"/>
      <c r="AE16" s="5"/>
      <c r="AF16" s="5"/>
      <c r="AM16" s="19"/>
    </row>
    <row r="17" spans="1:41" ht="15.75" x14ac:dyDescent="0.25">
      <c r="A17" s="11"/>
      <c r="B17" s="20"/>
      <c r="C17" s="5" t="s">
        <v>8</v>
      </c>
      <c r="D17" s="5"/>
      <c r="E17" s="5"/>
      <c r="F17" s="27" t="s">
        <v>9</v>
      </c>
      <c r="G17" s="5" t="s">
        <v>10</v>
      </c>
      <c r="H17" s="5"/>
      <c r="I17" s="5"/>
      <c r="J17" s="5"/>
      <c r="K17" s="5"/>
      <c r="L17" s="13" t="s">
        <v>11</v>
      </c>
      <c r="M17" s="5"/>
      <c r="N17" s="5"/>
      <c r="O17" s="5"/>
      <c r="P17" s="5"/>
      <c r="Q17" s="5"/>
      <c r="R17" s="5"/>
      <c r="S17" s="5"/>
      <c r="T17" s="5"/>
      <c r="U17" s="5"/>
      <c r="V17" s="5"/>
      <c r="W17" s="5"/>
      <c r="X17" s="5"/>
      <c r="Y17" s="5"/>
      <c r="Z17" s="5"/>
      <c r="AA17" s="5"/>
      <c r="AB17" s="5"/>
      <c r="AC17" s="12"/>
      <c r="AD17" s="5"/>
      <c r="AE17" s="5"/>
      <c r="AF17" s="5"/>
      <c r="AM17" s="23"/>
    </row>
    <row r="18" spans="1:41" ht="15.75" x14ac:dyDescent="0.25">
      <c r="A18" s="11"/>
      <c r="B18" s="11"/>
      <c r="C18" s="5"/>
      <c r="D18" s="5"/>
      <c r="E18" s="5"/>
      <c r="F18" s="28"/>
      <c r="G18" s="5" t="s">
        <v>12</v>
      </c>
      <c r="H18" s="5"/>
      <c r="I18" s="5"/>
      <c r="J18" s="5"/>
      <c r="L18" s="13" t="s">
        <v>13</v>
      </c>
      <c r="M18" s="5"/>
      <c r="N18" s="5"/>
      <c r="O18" s="5"/>
      <c r="P18" s="5"/>
      <c r="Q18" s="5"/>
      <c r="R18" s="5"/>
      <c r="S18" s="5"/>
      <c r="T18" s="5"/>
      <c r="U18" s="5"/>
      <c r="V18" s="5"/>
      <c r="W18" s="5"/>
      <c r="X18" s="5"/>
      <c r="Y18" s="5"/>
      <c r="Z18" s="5"/>
      <c r="AA18" s="5"/>
      <c r="AB18" s="5"/>
      <c r="AC18" s="12"/>
      <c r="AD18" s="5"/>
      <c r="AE18" s="5"/>
      <c r="AF18" s="5"/>
      <c r="AM18" s="23"/>
    </row>
    <row r="19" spans="1:41" ht="15.75" x14ac:dyDescent="0.25">
      <c r="A19" s="11"/>
      <c r="B19" s="11"/>
      <c r="C19" s="5"/>
      <c r="D19" s="5"/>
      <c r="E19" s="5"/>
      <c r="F19" s="28"/>
      <c r="G19" s="5" t="s">
        <v>14</v>
      </c>
      <c r="H19" s="5"/>
      <c r="I19" s="5"/>
      <c r="J19" s="5"/>
      <c r="K19" s="5"/>
      <c r="L19" s="5"/>
      <c r="M19" s="5"/>
      <c r="N19" s="5"/>
      <c r="O19" s="5"/>
      <c r="P19" s="5"/>
      <c r="Q19" s="5"/>
      <c r="R19" s="5"/>
      <c r="S19" s="5"/>
      <c r="T19" s="5"/>
      <c r="U19" s="5"/>
      <c r="V19" s="5"/>
      <c r="W19" s="5"/>
      <c r="X19" s="5"/>
      <c r="Y19" s="5"/>
      <c r="Z19" s="5"/>
      <c r="AA19" s="5"/>
      <c r="AB19" s="5"/>
      <c r="AC19" s="12"/>
      <c r="AD19" s="5"/>
      <c r="AE19" s="5"/>
      <c r="AF19" s="5"/>
      <c r="AM19" s="23"/>
    </row>
    <row r="20" spans="1:41" x14ac:dyDescent="0.2">
      <c r="A20" s="11"/>
      <c r="B20" s="11"/>
      <c r="C20" s="5"/>
      <c r="D20" s="5"/>
      <c r="E20" s="5"/>
      <c r="F20" s="29" t="s">
        <v>15</v>
      </c>
      <c r="G20" s="5" t="s">
        <v>16</v>
      </c>
      <c r="H20" s="5"/>
      <c r="I20" s="5"/>
      <c r="J20" s="5"/>
      <c r="K20" s="5"/>
      <c r="L20" s="5"/>
      <c r="M20" s="5"/>
      <c r="N20" s="5"/>
      <c r="O20" s="5"/>
      <c r="P20" s="5"/>
      <c r="Q20" s="27"/>
      <c r="R20" s="5" t="s">
        <v>17</v>
      </c>
      <c r="S20" s="5"/>
      <c r="T20" s="5"/>
      <c r="U20" s="5"/>
      <c r="V20" s="5"/>
      <c r="W20" s="5"/>
      <c r="X20" s="5"/>
      <c r="Y20" s="5"/>
      <c r="Z20" s="5"/>
      <c r="AA20" s="30"/>
      <c r="AB20" s="30"/>
      <c r="AC20" s="30"/>
      <c r="AD20" s="30"/>
      <c r="AE20" s="5"/>
      <c r="AF20" s="5"/>
      <c r="AM20" s="23"/>
    </row>
    <row r="21" spans="1:41" ht="15.75" x14ac:dyDescent="0.25">
      <c r="A21" s="11"/>
      <c r="B21" s="11"/>
      <c r="C21" s="5"/>
      <c r="D21" s="5"/>
      <c r="E21" s="5"/>
      <c r="H21" s="5"/>
      <c r="I21" s="5"/>
      <c r="J21" s="5"/>
      <c r="K21" s="5"/>
      <c r="L21" s="5"/>
      <c r="M21" s="5"/>
      <c r="N21" s="5"/>
      <c r="O21" s="5"/>
      <c r="P21" s="5"/>
      <c r="Q21" s="28"/>
      <c r="R21" s="5" t="s">
        <v>18</v>
      </c>
      <c r="S21" s="5"/>
      <c r="T21" s="5"/>
      <c r="U21" s="5"/>
      <c r="V21" s="5"/>
      <c r="W21" s="5"/>
      <c r="X21" s="5"/>
      <c r="Y21" s="5"/>
      <c r="Z21" s="5"/>
      <c r="AA21" s="5"/>
      <c r="AB21" s="5"/>
      <c r="AC21" s="12"/>
      <c r="AD21" s="5"/>
      <c r="AE21" s="5"/>
      <c r="AF21" s="5"/>
      <c r="AM21" s="23"/>
    </row>
    <row r="22" spans="1:41" ht="15.75" x14ac:dyDescent="0.25">
      <c r="A22" s="11"/>
      <c r="B22" s="11"/>
      <c r="C22" s="5"/>
      <c r="D22" s="5"/>
      <c r="E22" s="5"/>
      <c r="F22" s="27"/>
      <c r="G22" s="5" t="s">
        <v>19</v>
      </c>
      <c r="H22" s="5"/>
      <c r="I22" s="5"/>
      <c r="J22" s="5"/>
      <c r="K22" s="5"/>
      <c r="L22" s="5"/>
      <c r="M22" s="5"/>
      <c r="N22" s="5"/>
      <c r="O22" s="5"/>
      <c r="P22" s="5"/>
      <c r="Q22" s="31"/>
      <c r="R22" s="5"/>
      <c r="S22" s="5"/>
      <c r="T22" s="5"/>
      <c r="U22" s="5"/>
      <c r="V22" s="5"/>
      <c r="W22" s="5"/>
      <c r="X22" s="5"/>
      <c r="Y22" s="5"/>
      <c r="Z22" s="5"/>
      <c r="AA22" s="5"/>
      <c r="AB22" s="5"/>
      <c r="AC22" s="12"/>
      <c r="AD22" s="5"/>
      <c r="AE22" s="5"/>
      <c r="AF22" s="5"/>
      <c r="AM22" s="23"/>
    </row>
    <row r="23" spans="1:41" ht="15.75" x14ac:dyDescent="0.25">
      <c r="A23" s="11"/>
      <c r="B23" s="11"/>
      <c r="C23" s="5"/>
      <c r="D23" s="5"/>
      <c r="E23" s="5"/>
      <c r="F23" s="31"/>
      <c r="G23" s="29" t="s">
        <v>15</v>
      </c>
      <c r="H23" s="13" t="s">
        <v>20</v>
      </c>
      <c r="I23" s="5"/>
      <c r="J23" s="5"/>
      <c r="K23" s="5"/>
      <c r="L23" s="5"/>
      <c r="M23" s="5"/>
      <c r="N23" s="5"/>
      <c r="O23" s="5"/>
      <c r="P23" s="5"/>
      <c r="Q23" s="31"/>
      <c r="R23" s="5"/>
      <c r="S23" s="5"/>
      <c r="T23" s="5"/>
      <c r="U23" s="5"/>
      <c r="V23" s="5"/>
      <c r="W23" s="5"/>
      <c r="X23" s="5"/>
      <c r="Y23" s="5"/>
      <c r="Z23" s="5"/>
      <c r="AA23" s="5"/>
      <c r="AB23" s="5"/>
      <c r="AC23" s="12"/>
      <c r="AD23" s="5"/>
      <c r="AE23" s="5"/>
      <c r="AF23" s="5"/>
      <c r="AM23" s="23"/>
    </row>
    <row r="24" spans="1:41" ht="15.75" x14ac:dyDescent="0.25">
      <c r="A24" s="11"/>
      <c r="B24" s="24"/>
      <c r="C24" s="14"/>
      <c r="D24" s="14"/>
      <c r="E24" s="14"/>
      <c r="F24" s="32"/>
      <c r="G24" s="14"/>
      <c r="H24" s="14"/>
      <c r="I24" s="14"/>
      <c r="J24" s="14"/>
      <c r="K24" s="14"/>
      <c r="L24" s="14"/>
      <c r="M24" s="14"/>
      <c r="N24" s="14"/>
      <c r="O24" s="14"/>
      <c r="P24" s="14"/>
      <c r="Q24" s="14"/>
      <c r="R24" s="14"/>
      <c r="S24" s="14"/>
      <c r="T24" s="14"/>
      <c r="U24" s="14"/>
      <c r="V24" s="14"/>
      <c r="W24" s="14"/>
      <c r="X24" s="14"/>
      <c r="Y24" s="14"/>
      <c r="Z24" s="14"/>
      <c r="AA24" s="14"/>
      <c r="AB24" s="14"/>
      <c r="AC24" s="25"/>
      <c r="AD24" s="14"/>
      <c r="AE24" s="14"/>
      <c r="AF24" s="14"/>
      <c r="AG24" s="14"/>
      <c r="AH24" s="14"/>
      <c r="AI24" s="14"/>
      <c r="AJ24" s="14"/>
      <c r="AK24" s="14"/>
      <c r="AL24" s="14"/>
      <c r="AM24" s="26"/>
    </row>
    <row r="25" spans="1:41" ht="15.75" x14ac:dyDescent="0.25">
      <c r="A25" s="1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12"/>
      <c r="AD25" s="5"/>
      <c r="AE25" s="14"/>
      <c r="AF25" s="14"/>
      <c r="AG25" s="14"/>
      <c r="AH25" s="14"/>
      <c r="AI25" s="14"/>
      <c r="AJ25" s="14"/>
      <c r="AK25" s="14"/>
      <c r="AL25" s="14"/>
      <c r="AM25" s="15"/>
    </row>
    <row r="26" spans="1:41" x14ac:dyDescent="0.2">
      <c r="A26" s="11"/>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5"/>
      <c r="AF26" s="5"/>
      <c r="AM26" s="19"/>
      <c r="AO26" s="35" t="s">
        <v>21</v>
      </c>
    </row>
    <row r="27" spans="1:41" x14ac:dyDescent="0.2">
      <c r="A27" s="11"/>
      <c r="B27" s="36"/>
      <c r="C27" s="5" t="s">
        <v>22</v>
      </c>
      <c r="D27" s="37"/>
      <c r="E27" s="37"/>
      <c r="F27" s="37"/>
      <c r="G27" s="37"/>
      <c r="H27" s="37"/>
      <c r="I27" s="37"/>
      <c r="J27" s="37"/>
      <c r="L27" s="13" t="s">
        <v>23</v>
      </c>
      <c r="M27" s="37"/>
      <c r="N27" s="37"/>
      <c r="O27" s="37"/>
      <c r="P27" s="37"/>
      <c r="Q27" s="37"/>
      <c r="R27" s="37"/>
      <c r="S27" s="37"/>
      <c r="T27" s="37"/>
      <c r="U27" s="37"/>
      <c r="V27" s="37"/>
      <c r="W27" s="37"/>
      <c r="X27" s="37"/>
      <c r="Y27" s="37"/>
      <c r="Z27" s="37"/>
      <c r="AA27" s="37"/>
      <c r="AB27" s="37"/>
      <c r="AC27" s="37"/>
      <c r="AD27" s="37"/>
      <c r="AE27" s="5"/>
      <c r="AF27" s="5"/>
      <c r="AM27" s="23"/>
      <c r="AO27" s="35" t="s">
        <v>24</v>
      </c>
    </row>
    <row r="28" spans="1:41" x14ac:dyDescent="0.2">
      <c r="A28" s="11"/>
      <c r="B28" s="36"/>
      <c r="C28" s="38" t="s">
        <v>25</v>
      </c>
      <c r="D28" s="27"/>
      <c r="E28" s="39" t="str">
        <f>IF(D28&lt;&gt;"","Please check the '+' icon to the left and provide the necessary information","")</f>
        <v/>
      </c>
      <c r="F28" s="39"/>
      <c r="G28" s="39"/>
      <c r="H28" s="39"/>
      <c r="I28" s="37"/>
      <c r="J28" s="37"/>
      <c r="L28" s="13"/>
      <c r="M28" s="37"/>
      <c r="N28" s="37"/>
      <c r="O28" s="37"/>
      <c r="P28" s="37"/>
      <c r="Q28" s="37"/>
      <c r="R28" s="37"/>
      <c r="S28" s="37"/>
      <c r="T28" s="37"/>
      <c r="U28" s="37"/>
      <c r="V28" s="40"/>
      <c r="W28" s="37"/>
      <c r="X28" s="37"/>
      <c r="Y28" s="37"/>
      <c r="Z28" s="37"/>
      <c r="AA28" s="37"/>
      <c r="AB28" s="37"/>
      <c r="AC28" s="37"/>
      <c r="AD28" s="37"/>
      <c r="AE28" s="5"/>
      <c r="AF28" s="5"/>
      <c r="AM28" s="23"/>
      <c r="AO28" s="35" t="s">
        <v>26</v>
      </c>
    </row>
    <row r="29" spans="1:41" x14ac:dyDescent="0.2">
      <c r="A29" s="11"/>
      <c r="B29" s="36"/>
      <c r="C29" s="38" t="s">
        <v>27</v>
      </c>
      <c r="D29" s="28" t="s">
        <v>9</v>
      </c>
      <c r="E29" s="41"/>
      <c r="F29" s="42"/>
      <c r="G29" s="42"/>
      <c r="H29" s="42"/>
      <c r="I29" s="37"/>
      <c r="J29" s="37"/>
      <c r="L29" s="13"/>
      <c r="M29" s="37"/>
      <c r="N29" s="37"/>
      <c r="O29" s="37"/>
      <c r="P29" s="37"/>
      <c r="Q29" s="37"/>
      <c r="R29" s="37"/>
      <c r="S29" s="37"/>
      <c r="T29" s="37"/>
      <c r="U29" s="37"/>
      <c r="V29" s="37"/>
      <c r="W29" s="37"/>
      <c r="X29" s="37"/>
      <c r="Y29" s="37"/>
      <c r="Z29" s="37"/>
      <c r="AA29" s="37"/>
      <c r="AB29" s="37"/>
      <c r="AC29" s="37"/>
      <c r="AD29" s="37"/>
      <c r="AE29" s="5"/>
      <c r="AF29" s="5"/>
      <c r="AM29" s="23"/>
      <c r="AO29" s="35" t="s">
        <v>28</v>
      </c>
    </row>
    <row r="30" spans="1:41" x14ac:dyDescent="0.2">
      <c r="A30" s="11"/>
      <c r="B30" s="36"/>
      <c r="C30" s="37"/>
      <c r="D30" s="37"/>
      <c r="E30" s="2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5"/>
      <c r="AF30" s="5"/>
      <c r="AM30" s="23"/>
      <c r="AO30" s="35" t="s">
        <v>29</v>
      </c>
    </row>
    <row r="31" spans="1:41" x14ac:dyDescent="0.2">
      <c r="A31" s="11"/>
      <c r="B31" s="36"/>
      <c r="C31" s="5" t="s">
        <v>30</v>
      </c>
      <c r="D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5"/>
      <c r="AF31" s="5"/>
      <c r="AM31" s="23"/>
      <c r="AO31" s="35" t="s">
        <v>31</v>
      </c>
    </row>
    <row r="32" spans="1:41" x14ac:dyDescent="0.2">
      <c r="A32" s="11"/>
      <c r="B32" s="3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5"/>
      <c r="AF32" s="5"/>
      <c r="AM32" s="23"/>
      <c r="AO32" s="35" t="s">
        <v>32</v>
      </c>
    </row>
    <row r="33" spans="1:46" x14ac:dyDescent="0.2">
      <c r="A33" s="11"/>
      <c r="B33" s="36"/>
      <c r="C33" s="43" t="s">
        <v>21</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37"/>
      <c r="AE33" s="5"/>
      <c r="AF33" s="5"/>
      <c r="AM33" s="23"/>
      <c r="AO33" s="35" t="s">
        <v>33</v>
      </c>
    </row>
    <row r="34" spans="1:46" x14ac:dyDescent="0.2">
      <c r="A34" s="11"/>
      <c r="B34" s="36"/>
      <c r="C34" s="4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37"/>
      <c r="AE34" s="5"/>
      <c r="AF34" s="5"/>
      <c r="AM34" s="23"/>
      <c r="AO34" s="35" t="s">
        <v>34</v>
      </c>
    </row>
    <row r="35" spans="1:46" x14ac:dyDescent="0.2">
      <c r="A35" s="11"/>
      <c r="B35" s="36"/>
      <c r="C35" s="13" t="s">
        <v>35</v>
      </c>
      <c r="D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5"/>
      <c r="AF35" s="5"/>
      <c r="AM35" s="23"/>
      <c r="AO35" s="35" t="s">
        <v>36</v>
      </c>
    </row>
    <row r="36" spans="1:46" x14ac:dyDescent="0.2">
      <c r="A36" s="11"/>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14"/>
      <c r="AF36" s="14"/>
      <c r="AG36" s="14"/>
      <c r="AH36" s="14"/>
      <c r="AI36" s="14"/>
      <c r="AJ36" s="14"/>
      <c r="AK36" s="14"/>
      <c r="AL36" s="14"/>
      <c r="AM36" s="26"/>
      <c r="AO36" s="35" t="s">
        <v>37</v>
      </c>
    </row>
    <row r="37" spans="1:46" ht="15.75" x14ac:dyDescent="0.25">
      <c r="A37" s="11"/>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12"/>
      <c r="AD37" s="5"/>
      <c r="AE37" s="5"/>
      <c r="AF37" s="5"/>
      <c r="AG37" s="5"/>
      <c r="AH37" s="5"/>
      <c r="AI37" s="5"/>
      <c r="AJ37" s="5"/>
      <c r="AK37" s="5"/>
      <c r="AL37" s="5"/>
      <c r="AM37" s="5"/>
      <c r="AN37" s="37"/>
      <c r="AO37" s="35" t="s">
        <v>38</v>
      </c>
      <c r="AP37" s="35"/>
      <c r="AQ37" s="35"/>
      <c r="AR37" s="35"/>
      <c r="AS37" s="35"/>
      <c r="AT37" s="35"/>
    </row>
    <row r="38" spans="1:46" ht="15.75" x14ac:dyDescent="0.25">
      <c r="A38" s="1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8"/>
      <c r="AD38" s="17"/>
      <c r="AE38" s="17"/>
      <c r="AF38" s="17"/>
      <c r="AG38" s="17"/>
      <c r="AH38" s="17"/>
      <c r="AI38" s="17"/>
      <c r="AJ38" s="17"/>
      <c r="AK38" s="17"/>
      <c r="AL38" s="17"/>
      <c r="AM38" s="19"/>
      <c r="AO38" s="35" t="s">
        <v>39</v>
      </c>
      <c r="AP38" s="35"/>
      <c r="AQ38" s="35"/>
      <c r="AR38" s="35"/>
      <c r="AS38" s="35"/>
      <c r="AT38" s="35"/>
    </row>
    <row r="39" spans="1:46" ht="15.75" x14ac:dyDescent="0.25">
      <c r="A39" s="11"/>
      <c r="B39" s="11"/>
      <c r="C39" s="5" t="s">
        <v>40</v>
      </c>
      <c r="D39" s="37"/>
      <c r="E39" s="37"/>
      <c r="F39" s="37"/>
      <c r="G39" s="37"/>
      <c r="H39" s="37"/>
      <c r="I39" s="37"/>
      <c r="J39" s="37"/>
      <c r="K39" s="5"/>
      <c r="L39" s="13"/>
      <c r="M39" s="37"/>
      <c r="N39" s="37"/>
      <c r="O39" s="37"/>
      <c r="P39" s="37"/>
      <c r="Q39" s="13"/>
      <c r="R39" s="37"/>
      <c r="S39" s="37"/>
      <c r="T39" s="37"/>
      <c r="U39" s="37"/>
      <c r="V39" s="37"/>
      <c r="W39" s="37"/>
      <c r="X39" s="37"/>
      <c r="Y39" s="37"/>
      <c r="Z39" s="37"/>
      <c r="AA39" s="37"/>
      <c r="AB39" s="5"/>
      <c r="AC39" s="12"/>
      <c r="AD39" s="5"/>
      <c r="AE39" s="5"/>
      <c r="AF39" s="5"/>
      <c r="AG39" s="5"/>
      <c r="AH39" s="5"/>
      <c r="AI39" s="5"/>
      <c r="AJ39" s="5"/>
      <c r="AK39" s="5"/>
      <c r="AL39" s="5"/>
      <c r="AM39" s="23"/>
      <c r="AO39" s="35" t="s">
        <v>41</v>
      </c>
      <c r="AP39" s="35"/>
      <c r="AQ39" s="35"/>
      <c r="AR39" s="35"/>
      <c r="AS39" s="35"/>
      <c r="AT39" s="35"/>
    </row>
    <row r="40" spans="1:46" x14ac:dyDescent="0.2">
      <c r="A40" s="11"/>
      <c r="B40" s="11"/>
      <c r="C40" s="39" t="s">
        <v>25</v>
      </c>
      <c r="D40" s="27"/>
      <c r="E40" s="39" t="str">
        <f>IF(D40&lt;&gt;"","Please check the '+' icon to the left and provide the necessary information","")</f>
        <v/>
      </c>
      <c r="F40" s="39"/>
      <c r="G40" s="39"/>
      <c r="H40" s="39"/>
      <c r="I40" s="37"/>
      <c r="J40" s="37"/>
      <c r="K40" s="5"/>
      <c r="L40" s="13"/>
      <c r="M40" s="37"/>
      <c r="N40" s="37"/>
      <c r="O40" s="37"/>
      <c r="P40" s="37"/>
      <c r="Q40" s="37"/>
      <c r="R40" s="37"/>
      <c r="S40" s="37"/>
      <c r="T40" s="37"/>
      <c r="U40" s="37"/>
      <c r="V40" s="48"/>
      <c r="X40" s="37"/>
      <c r="Y40" s="37"/>
      <c r="Z40" s="37"/>
      <c r="AE40" s="5"/>
      <c r="AF40" s="5"/>
      <c r="AG40" s="5"/>
      <c r="AH40" s="5"/>
      <c r="AI40" s="5"/>
      <c r="AJ40" s="5"/>
      <c r="AK40" s="5"/>
      <c r="AL40" s="5"/>
      <c r="AM40" s="23"/>
      <c r="AO40" s="35" t="s">
        <v>42</v>
      </c>
      <c r="AP40" s="35"/>
      <c r="AQ40" s="35"/>
      <c r="AR40" s="35"/>
      <c r="AS40" s="35"/>
      <c r="AT40" s="35"/>
    </row>
    <row r="41" spans="1:46" ht="15.75" x14ac:dyDescent="0.25">
      <c r="A41" s="11"/>
      <c r="B41" s="11"/>
      <c r="C41" s="39" t="s">
        <v>27</v>
      </c>
      <c r="D41" s="28" t="s">
        <v>9</v>
      </c>
      <c r="E41" s="41"/>
      <c r="F41" s="49"/>
      <c r="G41" s="49"/>
      <c r="H41" s="49"/>
      <c r="I41" s="37"/>
      <c r="J41" s="37"/>
      <c r="K41" s="5"/>
      <c r="L41" s="13"/>
      <c r="M41" s="37"/>
      <c r="N41" s="37"/>
      <c r="O41" s="37"/>
      <c r="P41" s="37"/>
      <c r="Q41" s="37"/>
      <c r="R41" s="37"/>
      <c r="S41" s="37"/>
      <c r="T41" s="37"/>
      <c r="U41" s="37"/>
      <c r="V41" s="37"/>
      <c r="W41" s="37"/>
      <c r="X41" s="37"/>
      <c r="Y41" s="37"/>
      <c r="Z41" s="37"/>
      <c r="AA41" s="37"/>
      <c r="AB41" s="5"/>
      <c r="AC41" s="12"/>
      <c r="AD41" s="5"/>
      <c r="AE41" s="5"/>
      <c r="AF41" s="5"/>
      <c r="AG41" s="5"/>
      <c r="AH41" s="5"/>
      <c r="AI41" s="5"/>
      <c r="AJ41" s="5"/>
      <c r="AK41" s="5"/>
      <c r="AL41" s="5"/>
      <c r="AM41" s="23"/>
      <c r="AO41" s="35" t="s">
        <v>43</v>
      </c>
      <c r="AP41" s="35"/>
      <c r="AQ41" s="35"/>
      <c r="AR41" s="35"/>
      <c r="AS41" s="35"/>
      <c r="AT41" s="35"/>
    </row>
    <row r="42" spans="1:46" ht="15.75" x14ac:dyDescent="0.25">
      <c r="A42" s="11"/>
      <c r="B42" s="11"/>
      <c r="C42" s="37"/>
      <c r="D42" s="37"/>
      <c r="E42" s="29"/>
      <c r="F42" s="37"/>
      <c r="G42" s="37"/>
      <c r="H42" s="37"/>
      <c r="I42" s="37"/>
      <c r="J42" s="37"/>
      <c r="K42" s="37"/>
      <c r="L42" s="37"/>
      <c r="M42" s="37"/>
      <c r="N42" s="37"/>
      <c r="O42" s="37"/>
      <c r="P42" s="37"/>
      <c r="Q42" s="37"/>
      <c r="R42" s="37"/>
      <c r="S42" s="37"/>
      <c r="T42" s="37"/>
      <c r="U42" s="37"/>
      <c r="V42" s="37"/>
      <c r="W42" s="37"/>
      <c r="X42" s="37"/>
      <c r="Y42" s="37"/>
      <c r="Z42" s="37"/>
      <c r="AA42" s="37"/>
      <c r="AB42" s="5"/>
      <c r="AC42" s="12"/>
      <c r="AD42" s="5"/>
      <c r="AE42" s="5"/>
      <c r="AF42" s="5"/>
      <c r="AG42" s="5"/>
      <c r="AH42" s="5"/>
      <c r="AI42" s="5"/>
      <c r="AJ42" s="5"/>
      <c r="AK42" s="5"/>
      <c r="AL42" s="5"/>
      <c r="AM42" s="23"/>
      <c r="AO42" s="35" t="s">
        <v>44</v>
      </c>
      <c r="AP42" s="35"/>
      <c r="AQ42" s="35"/>
      <c r="AR42" s="35"/>
      <c r="AS42" s="35"/>
      <c r="AT42" s="35"/>
    </row>
    <row r="43" spans="1:46" ht="15.75" x14ac:dyDescent="0.25">
      <c r="A43" s="11"/>
      <c r="B43" s="11"/>
      <c r="C43" s="5" t="s">
        <v>45</v>
      </c>
      <c r="D43" s="37"/>
      <c r="E43" s="29"/>
      <c r="F43" s="37"/>
      <c r="G43" s="37"/>
      <c r="H43" s="37"/>
      <c r="I43" s="43"/>
      <c r="J43" s="43"/>
      <c r="K43" s="43"/>
      <c r="L43" s="43"/>
      <c r="M43" s="43"/>
      <c r="N43" s="43"/>
      <c r="O43" s="37"/>
      <c r="P43" s="37"/>
      <c r="Q43" s="37"/>
      <c r="R43" s="37"/>
      <c r="S43" s="37"/>
      <c r="T43" s="37"/>
      <c r="U43" s="37"/>
      <c r="V43" s="37"/>
      <c r="W43" s="37"/>
      <c r="X43" s="37"/>
      <c r="Y43" s="37"/>
      <c r="Z43" s="37"/>
      <c r="AA43" s="37"/>
      <c r="AB43" s="5"/>
      <c r="AC43" s="12"/>
      <c r="AD43" s="5"/>
      <c r="AE43" s="5"/>
      <c r="AF43" s="5"/>
      <c r="AG43" s="5"/>
      <c r="AH43" s="5"/>
      <c r="AI43" s="5"/>
      <c r="AJ43" s="5"/>
      <c r="AK43" s="5"/>
      <c r="AL43" s="5"/>
      <c r="AM43" s="23"/>
      <c r="AO43" s="35" t="s">
        <v>46</v>
      </c>
      <c r="AP43" s="35"/>
      <c r="AQ43" s="35"/>
      <c r="AR43" s="35"/>
      <c r="AS43" s="35"/>
      <c r="AT43" s="35"/>
    </row>
    <row r="44" spans="1:46" ht="15.75" x14ac:dyDescent="0.25">
      <c r="A44" s="11"/>
      <c r="B44" s="11"/>
      <c r="C44" s="5" t="s">
        <v>47</v>
      </c>
      <c r="D44" s="37"/>
      <c r="E44" s="5"/>
      <c r="F44" s="37"/>
      <c r="G44" s="37"/>
      <c r="H44" s="5"/>
      <c r="I44" s="43" t="s">
        <v>48</v>
      </c>
      <c r="J44" s="43"/>
      <c r="K44" s="43"/>
      <c r="L44" s="43"/>
      <c r="M44" s="43"/>
      <c r="N44" s="43"/>
      <c r="O44" s="37"/>
      <c r="P44" s="13" t="str">
        <f>IF(D40&lt;&gt;"",AT50,"")</f>
        <v/>
      </c>
      <c r="Q44" s="37"/>
      <c r="R44" s="5"/>
      <c r="S44" s="5"/>
      <c r="T44" s="5"/>
      <c r="U44" s="5"/>
      <c r="V44" s="5"/>
      <c r="W44" s="5"/>
      <c r="X44" s="37"/>
      <c r="Y44" s="37"/>
      <c r="Z44" s="37"/>
      <c r="AA44" s="37"/>
      <c r="AB44" s="5"/>
      <c r="AC44" s="12"/>
      <c r="AD44" s="5"/>
      <c r="AE44" s="5"/>
      <c r="AF44" s="5"/>
      <c r="AG44" s="5"/>
      <c r="AH44" s="5"/>
      <c r="AI44" s="5"/>
      <c r="AJ44" s="5"/>
      <c r="AK44" s="5"/>
      <c r="AL44" s="5"/>
      <c r="AM44" s="23"/>
      <c r="AO44" s="35" t="s">
        <v>49</v>
      </c>
      <c r="AP44" s="35"/>
      <c r="AQ44" s="35"/>
      <c r="AR44" s="35"/>
      <c r="AS44" s="35"/>
      <c r="AT44" s="35"/>
    </row>
    <row r="45" spans="1:46" ht="15.75" x14ac:dyDescent="0.25">
      <c r="A45" s="11"/>
      <c r="B45" s="11"/>
      <c r="C45" s="5" t="s">
        <v>50</v>
      </c>
      <c r="D45" s="5"/>
      <c r="E45" s="5"/>
      <c r="F45" s="5"/>
      <c r="G45" s="5"/>
      <c r="H45" s="5"/>
      <c r="I45" s="43"/>
      <c r="J45" s="43"/>
      <c r="K45" s="43"/>
      <c r="L45" s="43"/>
      <c r="M45" s="43"/>
      <c r="N45" s="43"/>
      <c r="O45" s="5"/>
      <c r="P45" s="50" t="str">
        <f>IF(D40&lt;&gt;"",AT52,"")</f>
        <v/>
      </c>
      <c r="Q45" s="5"/>
      <c r="R45" s="51"/>
      <c r="S45" s="5"/>
      <c r="T45" s="5"/>
      <c r="U45" s="5"/>
      <c r="V45" s="5"/>
      <c r="W45" s="5"/>
      <c r="X45" s="5"/>
      <c r="Y45" s="5"/>
      <c r="Z45" s="5"/>
      <c r="AA45" s="5"/>
      <c r="AB45" s="5"/>
      <c r="AC45" s="12"/>
      <c r="AD45" s="5"/>
      <c r="AE45" s="5"/>
      <c r="AF45" s="5"/>
      <c r="AG45" s="5"/>
      <c r="AH45" s="5"/>
      <c r="AI45" s="5"/>
      <c r="AJ45" s="5"/>
      <c r="AK45" s="5"/>
      <c r="AL45" s="5"/>
      <c r="AM45" s="23"/>
      <c r="AP45" s="35"/>
      <c r="AQ45" s="35"/>
      <c r="AR45" s="35"/>
      <c r="AS45" s="35"/>
      <c r="AT45" s="35"/>
    </row>
    <row r="46" spans="1:46" ht="15.75" x14ac:dyDescent="0.25">
      <c r="A46" s="11"/>
      <c r="B46" s="11"/>
      <c r="C46" s="5" t="s">
        <v>51</v>
      </c>
      <c r="D46" s="5"/>
      <c r="E46" s="5"/>
      <c r="F46" s="5"/>
      <c r="G46" s="5"/>
      <c r="H46" s="5"/>
      <c r="I46" s="43" t="s">
        <v>48</v>
      </c>
      <c r="J46" s="43"/>
      <c r="K46" s="43"/>
      <c r="L46" s="43"/>
      <c r="M46" s="43"/>
      <c r="N46" s="43"/>
      <c r="O46" s="5"/>
      <c r="P46" s="13" t="str">
        <f>IF(D40&lt;&gt;"",AT51,"")</f>
        <v/>
      </c>
      <c r="Q46" s="5"/>
      <c r="R46" s="5"/>
      <c r="S46" s="5"/>
      <c r="T46" s="5"/>
      <c r="U46" s="5"/>
      <c r="V46" s="5"/>
      <c r="W46" s="5"/>
      <c r="X46" s="5"/>
      <c r="Y46" s="5"/>
      <c r="Z46" s="5"/>
      <c r="AA46" s="5"/>
      <c r="AB46" s="5"/>
      <c r="AC46" s="12"/>
      <c r="AD46" s="5"/>
      <c r="AE46" s="5"/>
      <c r="AF46" s="5"/>
      <c r="AG46" s="5"/>
      <c r="AH46" s="5"/>
      <c r="AI46" s="5"/>
      <c r="AJ46" s="5"/>
      <c r="AK46" s="5"/>
      <c r="AL46" s="5"/>
      <c r="AM46" s="23"/>
      <c r="AO46" s="35"/>
      <c r="AP46" s="35"/>
      <c r="AQ46" s="35"/>
      <c r="AR46" s="35"/>
      <c r="AS46" s="35"/>
      <c r="AT46" s="35"/>
    </row>
    <row r="47" spans="1:46" ht="15.75" x14ac:dyDescent="0.25">
      <c r="A47" s="11"/>
      <c r="B47" s="11"/>
      <c r="C47" s="5"/>
      <c r="D47" s="5"/>
      <c r="E47" s="5"/>
      <c r="F47" s="5"/>
      <c r="G47" s="5"/>
      <c r="H47" s="5"/>
      <c r="I47" s="52"/>
      <c r="J47" s="52"/>
      <c r="K47" s="52"/>
      <c r="L47" s="52"/>
      <c r="M47" s="52"/>
      <c r="N47" s="52"/>
      <c r="O47" s="5"/>
      <c r="P47" s="13" t="str">
        <f>IF(D40&lt;&gt;"",back!S35,"")</f>
        <v/>
      </c>
      <c r="Q47" s="5"/>
      <c r="R47" s="5"/>
      <c r="S47" s="5"/>
      <c r="T47" s="5"/>
      <c r="U47" s="5"/>
      <c r="V47" s="5"/>
      <c r="W47" s="5"/>
      <c r="X47" s="5"/>
      <c r="Y47" s="5"/>
      <c r="Z47" s="5"/>
      <c r="AA47" s="5"/>
      <c r="AB47" s="5"/>
      <c r="AC47" s="12"/>
      <c r="AD47" s="5"/>
      <c r="AE47" s="5"/>
      <c r="AF47" s="5"/>
      <c r="AG47" s="5"/>
      <c r="AH47" s="5"/>
      <c r="AI47" s="5"/>
      <c r="AJ47" s="5"/>
      <c r="AK47" s="5"/>
      <c r="AL47" s="5"/>
      <c r="AM47" s="23"/>
      <c r="AO47" s="35"/>
      <c r="AP47" s="35"/>
      <c r="AQ47" s="35"/>
      <c r="AR47" s="35"/>
      <c r="AS47" s="35"/>
      <c r="AT47" s="35"/>
    </row>
    <row r="48" spans="1:46" ht="15.75" x14ac:dyDescent="0.25">
      <c r="A48" s="11"/>
      <c r="B48" s="11"/>
      <c r="C48" s="5">
        <f>back!S32</f>
        <v>0</v>
      </c>
      <c r="D48" s="5"/>
      <c r="E48" s="5"/>
      <c r="F48" s="5"/>
      <c r="G48" s="5"/>
      <c r="H48" s="5"/>
      <c r="I48" s="53"/>
      <c r="J48" s="53"/>
      <c r="K48" s="53"/>
      <c r="L48" s="53"/>
      <c r="M48" s="53"/>
      <c r="N48" s="53"/>
      <c r="O48" s="5"/>
      <c r="P48" s="5"/>
      <c r="Q48" s="5"/>
      <c r="R48" s="5"/>
      <c r="S48" s="5"/>
      <c r="T48" s="5"/>
      <c r="U48" s="5"/>
      <c r="V48" s="5"/>
      <c r="W48" s="5"/>
      <c r="X48" s="5"/>
      <c r="Y48" s="5"/>
      <c r="Z48" s="5"/>
      <c r="AA48" s="5"/>
      <c r="AB48" s="5"/>
      <c r="AC48" s="12"/>
      <c r="AD48" s="5"/>
      <c r="AE48" s="5"/>
      <c r="AF48" s="5"/>
      <c r="AG48" s="5"/>
      <c r="AH48" s="5"/>
      <c r="AI48" s="5"/>
      <c r="AJ48" s="5"/>
      <c r="AK48" s="5"/>
      <c r="AL48" s="5"/>
      <c r="AM48" s="23"/>
      <c r="AO48" s="35"/>
      <c r="AP48" s="35"/>
      <c r="AQ48" s="35"/>
      <c r="AR48" s="35"/>
      <c r="AS48" s="35"/>
      <c r="AT48" s="35"/>
    </row>
    <row r="49" spans="1:46" ht="15.75" x14ac:dyDescent="0.25">
      <c r="A49" s="11"/>
      <c r="B49" s="11"/>
      <c r="C49" s="5"/>
      <c r="D49" s="5"/>
      <c r="E49" s="5"/>
      <c r="F49" s="5"/>
      <c r="G49" s="5"/>
      <c r="H49" s="5"/>
      <c r="I49" s="5"/>
      <c r="J49" s="5"/>
      <c r="K49" s="5"/>
      <c r="L49" s="5"/>
      <c r="M49" s="5"/>
      <c r="N49" s="5"/>
      <c r="O49" s="5"/>
      <c r="P49" s="5"/>
      <c r="Q49" s="5"/>
      <c r="R49" s="5"/>
      <c r="S49" s="5"/>
      <c r="T49" s="5"/>
      <c r="U49" s="5"/>
      <c r="V49" s="5"/>
      <c r="W49" s="5"/>
      <c r="X49" s="5"/>
      <c r="Y49" s="5"/>
      <c r="Z49" s="5"/>
      <c r="AA49" s="5"/>
      <c r="AB49" s="5"/>
      <c r="AC49" s="12"/>
      <c r="AD49" s="5"/>
      <c r="AE49" s="5"/>
      <c r="AF49" s="5"/>
      <c r="AG49" s="5"/>
      <c r="AH49" s="5"/>
      <c r="AI49" s="5"/>
      <c r="AJ49" s="5"/>
      <c r="AK49" s="5"/>
      <c r="AL49" s="5"/>
      <c r="AM49" s="23"/>
      <c r="AO49" s="35"/>
      <c r="AP49" s="35"/>
      <c r="AQ49" s="35"/>
      <c r="AR49" s="35"/>
      <c r="AS49" s="35"/>
      <c r="AT49" s="35"/>
    </row>
    <row r="50" spans="1:46" ht="15.75" x14ac:dyDescent="0.25">
      <c r="A50" s="11"/>
      <c r="B50" s="11"/>
      <c r="C50" s="5">
        <f>back!S33</f>
        <v>0</v>
      </c>
      <c r="D50" s="5"/>
      <c r="E50" s="5"/>
      <c r="F50" s="5"/>
      <c r="G50" s="5"/>
      <c r="H50" s="5"/>
      <c r="I50" s="5"/>
      <c r="J50" s="5"/>
      <c r="K50" s="5"/>
      <c r="L50" s="5"/>
      <c r="M50" s="5"/>
      <c r="N50" s="5"/>
      <c r="O50" s="5"/>
      <c r="P50" s="5"/>
      <c r="Q50" s="5"/>
      <c r="R50" s="5"/>
      <c r="S50" s="5"/>
      <c r="T50" s="5"/>
      <c r="U50" s="5"/>
      <c r="V50" s="5"/>
      <c r="W50" s="5"/>
      <c r="X50" s="5"/>
      <c r="Y50" s="5"/>
      <c r="Z50" s="5"/>
      <c r="AA50" s="5"/>
      <c r="AB50" s="5"/>
      <c r="AC50" s="12"/>
      <c r="AD50" s="5"/>
      <c r="AE50" s="5"/>
      <c r="AF50" s="5"/>
      <c r="AG50" s="5"/>
      <c r="AH50" s="5"/>
      <c r="AI50" s="5"/>
      <c r="AJ50" s="5"/>
      <c r="AK50" s="5"/>
      <c r="AL50" s="5"/>
      <c r="AM50" s="23"/>
      <c r="AO50" s="3" t="s">
        <v>48</v>
      </c>
      <c r="AP50" s="35"/>
      <c r="AQ50" s="35">
        <f>INDEX('New KR'!D98:F98,1,'New KR'!$B$101)</f>
        <v>0</v>
      </c>
      <c r="AR50" s="35">
        <f>IF('New KR'!B100=1,41,IF('New KR'!B100=2,42,43))</f>
        <v>43</v>
      </c>
      <c r="AS50" s="35" t="str">
        <f>INDEX('back-Bandwidths'!C4:AS4,1,$AR$50)</f>
        <v>NA</v>
      </c>
      <c r="AT50" s="54" t="s">
        <v>52</v>
      </c>
    </row>
    <row r="51" spans="1:46" ht="15.75" x14ac:dyDescent="0.25">
      <c r="A51" s="11"/>
      <c r="B51" s="11"/>
      <c r="C51" s="5"/>
      <c r="D51" s="5" t="str">
        <f>IF(D40&lt;&gt;"","Primary","")</f>
        <v/>
      </c>
      <c r="E51" s="5"/>
      <c r="F51" s="5"/>
      <c r="G51" s="5"/>
      <c r="H51" s="5"/>
      <c r="I51" s="43">
        <f>back!Y40</f>
        <v>0</v>
      </c>
      <c r="J51" s="43"/>
      <c r="K51" s="43"/>
      <c r="L51" s="43"/>
      <c r="M51" s="43"/>
      <c r="N51" s="43"/>
      <c r="O51" s="5"/>
      <c r="P51" s="5"/>
      <c r="Q51" s="5"/>
      <c r="R51" s="5"/>
      <c r="S51" s="5"/>
      <c r="T51" s="5"/>
      <c r="U51" s="5"/>
      <c r="V51" s="5"/>
      <c r="W51" s="5"/>
      <c r="X51" s="5"/>
      <c r="Y51" s="5"/>
      <c r="Z51" s="5"/>
      <c r="AA51" s="5"/>
      <c r="AB51" s="5"/>
      <c r="AC51" s="12"/>
      <c r="AD51" s="5"/>
      <c r="AE51" s="5"/>
      <c r="AF51" s="5"/>
      <c r="AG51" s="5"/>
      <c r="AH51" s="5"/>
      <c r="AI51" s="5"/>
      <c r="AJ51" s="5"/>
      <c r="AK51" s="5"/>
      <c r="AL51" s="5"/>
      <c r="AM51" s="23"/>
      <c r="AO51" s="3" t="s">
        <v>53</v>
      </c>
      <c r="AP51" s="35"/>
      <c r="AQ51" s="35">
        <f>INDEX('New KR'!D99:F99,1,'New KR'!$B$101)</f>
        <v>0</v>
      </c>
      <c r="AR51" s="35"/>
      <c r="AS51" s="35" t="str">
        <f>INDEX('back-Bandwidths'!C5:AS5,1,$AR$50)</f>
        <v>NA</v>
      </c>
      <c r="AT51" s="54" t="s">
        <v>54</v>
      </c>
    </row>
    <row r="52" spans="1:46" ht="15.75" x14ac:dyDescent="0.25">
      <c r="A52" s="11"/>
      <c r="B52" s="11"/>
      <c r="C52" s="5"/>
      <c r="D52" s="5" t="str">
        <f>IF(D40&lt;&gt;"","Secondary","")</f>
        <v/>
      </c>
      <c r="E52" s="5"/>
      <c r="F52" s="5"/>
      <c r="G52" s="5"/>
      <c r="H52" s="5"/>
      <c r="I52" s="43">
        <f>back!Y41</f>
        <v>0</v>
      </c>
      <c r="J52" s="43"/>
      <c r="K52" s="43"/>
      <c r="L52" s="43"/>
      <c r="M52" s="43"/>
      <c r="N52" s="43"/>
      <c r="O52" s="5"/>
      <c r="P52" s="5"/>
      <c r="Q52" s="5"/>
      <c r="R52" s="5"/>
      <c r="S52" s="5"/>
      <c r="T52" s="5"/>
      <c r="U52" s="5"/>
      <c r="V52" s="5"/>
      <c r="W52" s="5"/>
      <c r="X52" s="5"/>
      <c r="Y52" s="5"/>
      <c r="Z52" s="5"/>
      <c r="AA52" s="5"/>
      <c r="AB52" s="5"/>
      <c r="AC52" s="12"/>
      <c r="AD52" s="5"/>
      <c r="AE52" s="5"/>
      <c r="AF52" s="5"/>
      <c r="AG52" s="5"/>
      <c r="AH52" s="5"/>
      <c r="AI52" s="5"/>
      <c r="AJ52" s="5"/>
      <c r="AK52" s="5"/>
      <c r="AL52" s="5"/>
      <c r="AM52" s="23"/>
      <c r="AO52" s="3" t="s">
        <v>55</v>
      </c>
      <c r="AP52" s="35"/>
      <c r="AQ52" s="35">
        <f>INDEX('New KR'!D100:F100,1,'New KR'!$B$101)</f>
        <v>0</v>
      </c>
      <c r="AR52" s="35"/>
      <c r="AS52" s="35" t="str">
        <f>INDEX('back-Bandwidths'!C6:AS6,1,$AR$50)</f>
        <v>NA</v>
      </c>
      <c r="AT52" s="55" t="s">
        <v>56</v>
      </c>
    </row>
    <row r="53" spans="1:46" ht="15.75" x14ac:dyDescent="0.25">
      <c r="A53" s="11"/>
      <c r="B53" s="11"/>
      <c r="C53" s="5"/>
      <c r="D53" s="5"/>
      <c r="E53" s="5"/>
      <c r="F53" s="5"/>
      <c r="G53" s="5"/>
      <c r="H53" s="5"/>
      <c r="I53" s="5"/>
      <c r="J53" s="5"/>
      <c r="K53" s="5"/>
      <c r="L53" s="5"/>
      <c r="M53" s="5"/>
      <c r="N53" s="5"/>
      <c r="O53" s="5"/>
      <c r="P53" s="5"/>
      <c r="Q53" s="5"/>
      <c r="R53" s="5"/>
      <c r="S53" s="5"/>
      <c r="T53" s="5"/>
      <c r="U53" s="5"/>
      <c r="V53" s="5"/>
      <c r="W53" s="5"/>
      <c r="X53" s="5"/>
      <c r="Y53" s="5"/>
      <c r="Z53" s="5"/>
      <c r="AA53" s="5"/>
      <c r="AB53" s="5"/>
      <c r="AC53" s="12"/>
      <c r="AD53" s="5"/>
      <c r="AE53" s="5"/>
      <c r="AF53" s="5"/>
      <c r="AG53" s="5"/>
      <c r="AH53" s="5"/>
      <c r="AI53" s="5"/>
      <c r="AJ53" s="5"/>
      <c r="AK53" s="5"/>
      <c r="AL53" s="5"/>
      <c r="AM53" s="23"/>
      <c r="AO53" s="35"/>
      <c r="AP53" s="35"/>
      <c r="AQ53" s="35"/>
      <c r="AR53" s="35"/>
      <c r="AS53" s="35" t="str">
        <f>INDEX('back-Bandwidths'!C7:AS7,1,$AR$50)</f>
        <v>NA</v>
      </c>
      <c r="AT53" s="35"/>
    </row>
    <row r="54" spans="1:46" ht="15.75" x14ac:dyDescent="0.25">
      <c r="A54" s="11"/>
      <c r="B54" s="11"/>
      <c r="C54" s="13">
        <f>back!S34</f>
        <v>0</v>
      </c>
      <c r="D54" s="5"/>
      <c r="E54" s="5"/>
      <c r="F54" s="5"/>
      <c r="G54" s="5"/>
      <c r="H54" s="5"/>
      <c r="I54" s="5"/>
      <c r="J54" s="5"/>
      <c r="K54" s="5"/>
      <c r="L54" s="5"/>
      <c r="M54" s="5"/>
      <c r="N54" s="5"/>
      <c r="O54" s="5"/>
      <c r="P54" s="5"/>
      <c r="Q54" s="5"/>
      <c r="R54" s="5"/>
      <c r="S54" s="5"/>
      <c r="T54" s="5"/>
      <c r="U54" s="5"/>
      <c r="V54" s="5"/>
      <c r="W54" s="5"/>
      <c r="X54" s="5"/>
      <c r="Y54" s="5"/>
      <c r="Z54" s="5"/>
      <c r="AA54" s="5"/>
      <c r="AB54" s="5"/>
      <c r="AC54" s="12"/>
      <c r="AD54" s="5"/>
      <c r="AE54" s="5"/>
      <c r="AF54" s="5"/>
      <c r="AG54" s="5"/>
      <c r="AH54" s="5"/>
      <c r="AI54" s="5"/>
      <c r="AJ54" s="5"/>
      <c r="AK54" s="5"/>
      <c r="AL54" s="5"/>
      <c r="AM54" s="23"/>
      <c r="AO54" s="35"/>
      <c r="AP54" s="35"/>
      <c r="AQ54" s="35"/>
      <c r="AR54" s="35"/>
      <c r="AS54" s="35" t="str">
        <f>INDEX('back-Bandwidths'!C8:AS8,1,$AR$50)</f>
        <v>NA</v>
      </c>
      <c r="AT54" s="35"/>
    </row>
    <row r="55" spans="1:46" ht="15.75" x14ac:dyDescent="0.25">
      <c r="A55" s="11"/>
      <c r="B55" s="2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25"/>
      <c r="AD55" s="14"/>
      <c r="AE55" s="14"/>
      <c r="AF55" s="14"/>
      <c r="AG55" s="14"/>
      <c r="AH55" s="14"/>
      <c r="AI55" s="14"/>
      <c r="AJ55" s="14"/>
      <c r="AK55" s="14"/>
      <c r="AL55" s="14"/>
      <c r="AM55" s="26"/>
      <c r="AO55" s="35"/>
      <c r="AP55" s="35"/>
      <c r="AQ55" s="35"/>
      <c r="AR55" s="35"/>
      <c r="AS55" s="35" t="str">
        <f>INDEX('back-Bandwidths'!C9:AS9,1,$AR$50)</f>
        <v>NA</v>
      </c>
      <c r="AT55" s="35"/>
    </row>
    <row r="56" spans="1:46" ht="15.75" x14ac:dyDescent="0.25">
      <c r="A56" s="11"/>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12"/>
      <c r="AD56" s="5"/>
      <c r="AE56" s="5"/>
      <c r="AF56" s="5"/>
      <c r="AG56" s="5"/>
      <c r="AH56" s="5"/>
      <c r="AI56" s="5"/>
      <c r="AJ56" s="5"/>
      <c r="AK56" s="5"/>
      <c r="AL56" s="5"/>
      <c r="AM56" s="13"/>
      <c r="AO56" s="35"/>
      <c r="AP56" s="35"/>
      <c r="AQ56" s="35"/>
      <c r="AR56" s="35"/>
      <c r="AS56" s="35" t="str">
        <f>INDEX('back-Bandwidths'!C10:AS10,1,$AR$50)</f>
        <v>NA</v>
      </c>
      <c r="AT56" s="35"/>
    </row>
    <row r="57" spans="1:46" ht="15.75" x14ac:dyDescent="0.25">
      <c r="A57" s="1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12"/>
      <c r="AD57" s="5"/>
      <c r="AE57" s="14"/>
      <c r="AF57" s="14"/>
      <c r="AG57" s="14"/>
      <c r="AH57" s="14"/>
      <c r="AI57" s="14"/>
      <c r="AJ57" s="14"/>
      <c r="AK57" s="14"/>
      <c r="AL57" s="14"/>
      <c r="AM57" s="15"/>
      <c r="AS57" s="35" t="str">
        <f>INDEX('back-Bandwidths'!C11:AS11,1,$AR$50)</f>
        <v>NA</v>
      </c>
    </row>
    <row r="58" spans="1:46" x14ac:dyDescent="0.2">
      <c r="A58" s="11"/>
      <c r="B58" s="16"/>
      <c r="C58" s="17"/>
      <c r="D58" s="17"/>
      <c r="E58" s="17"/>
      <c r="F58" s="17"/>
      <c r="G58" s="17"/>
      <c r="H58" s="17"/>
      <c r="I58" s="17"/>
      <c r="J58" s="17"/>
      <c r="K58" s="17"/>
      <c r="L58" s="17"/>
      <c r="M58" s="17"/>
      <c r="N58" s="17"/>
      <c r="O58" s="17"/>
      <c r="P58" s="17"/>
      <c r="Q58" s="17"/>
      <c r="R58" s="56"/>
      <c r="S58" s="5"/>
      <c r="T58" s="16"/>
      <c r="U58" s="17"/>
      <c r="V58" s="17"/>
      <c r="W58" s="17"/>
      <c r="X58" s="17"/>
      <c r="Y58" s="17"/>
      <c r="Z58" s="17"/>
      <c r="AA58" s="17"/>
      <c r="AB58" s="17"/>
      <c r="AC58" s="17"/>
      <c r="AD58" s="17"/>
      <c r="AE58" s="5"/>
      <c r="AF58" s="5"/>
      <c r="AH58" s="5"/>
      <c r="AI58" s="5"/>
      <c r="AJ58" s="5"/>
      <c r="AK58" s="5"/>
      <c r="AL58" s="17"/>
      <c r="AM58" s="19"/>
      <c r="AN58" s="37"/>
      <c r="AS58" s="35"/>
    </row>
    <row r="59" spans="1:46" x14ac:dyDescent="0.2">
      <c r="A59" s="11"/>
      <c r="B59" s="11"/>
      <c r="C59" s="57" t="s">
        <v>57</v>
      </c>
      <c r="D59" s="58"/>
      <c r="E59" s="58"/>
      <c r="F59" s="58"/>
      <c r="G59" s="58"/>
      <c r="H59" s="5"/>
      <c r="I59" s="5"/>
      <c r="J59" s="5"/>
      <c r="K59" s="5"/>
      <c r="L59" s="5"/>
      <c r="M59" s="5"/>
      <c r="N59" s="5"/>
      <c r="O59" s="5"/>
      <c r="P59" s="5"/>
      <c r="Q59" s="5"/>
      <c r="R59" s="59"/>
      <c r="S59" s="5"/>
      <c r="T59" s="11"/>
      <c r="U59" s="60" t="s">
        <v>58</v>
      </c>
      <c r="V59" s="5"/>
      <c r="W59" s="5"/>
      <c r="X59" s="5"/>
      <c r="Y59" s="5"/>
      <c r="Z59" s="5"/>
      <c r="AA59" s="5"/>
      <c r="AB59" s="5"/>
      <c r="AC59" s="5"/>
      <c r="AD59" s="5"/>
      <c r="AE59" s="5"/>
      <c r="AF59" s="5"/>
      <c r="AG59" s="5"/>
      <c r="AH59" s="5"/>
      <c r="AJ59" s="5"/>
      <c r="AK59" s="5"/>
      <c r="AL59" s="5"/>
      <c r="AM59" s="23"/>
      <c r="AN59" s="37"/>
      <c r="AS59" s="35"/>
    </row>
    <row r="60" spans="1:46" x14ac:dyDescent="0.2">
      <c r="A60" s="11"/>
      <c r="B60" s="11"/>
      <c r="C60" s="57"/>
      <c r="D60" s="58"/>
      <c r="E60" s="58"/>
      <c r="F60" s="27"/>
      <c r="G60" s="61" t="s">
        <v>59</v>
      </c>
      <c r="H60" s="5"/>
      <c r="I60" s="5"/>
      <c r="J60" s="5"/>
      <c r="K60" s="5"/>
      <c r="L60" s="5"/>
      <c r="M60" s="5"/>
      <c r="N60" s="5"/>
      <c r="O60" s="5"/>
      <c r="P60" s="5"/>
      <c r="Q60" s="5"/>
      <c r="R60" s="59"/>
      <c r="S60" s="5"/>
      <c r="T60" s="11"/>
      <c r="U60" s="60"/>
      <c r="V60" s="5"/>
      <c r="W60" s="5"/>
      <c r="X60" s="5"/>
      <c r="Y60" s="5"/>
      <c r="Z60" s="5"/>
      <c r="AA60" s="5"/>
      <c r="AB60" s="5"/>
      <c r="AC60" s="5"/>
      <c r="AD60" s="5"/>
      <c r="AE60" s="5"/>
      <c r="AF60" s="5"/>
      <c r="AG60" s="5"/>
      <c r="AH60" s="5"/>
      <c r="AJ60" s="5"/>
      <c r="AK60" s="5"/>
      <c r="AL60" s="5"/>
      <c r="AM60" s="23"/>
      <c r="AN60" s="37"/>
      <c r="AS60" s="35"/>
    </row>
    <row r="61" spans="1:46" x14ac:dyDescent="0.2">
      <c r="A61" s="11"/>
      <c r="B61" s="11"/>
      <c r="C61" s="57"/>
      <c r="D61" s="58"/>
      <c r="E61" s="58"/>
      <c r="F61" s="28"/>
      <c r="G61" s="61" t="s">
        <v>60</v>
      </c>
      <c r="H61" s="5"/>
      <c r="I61" s="5"/>
      <c r="J61" s="5"/>
      <c r="K61" s="5"/>
      <c r="L61" s="5"/>
      <c r="M61" s="5"/>
      <c r="N61" s="5"/>
      <c r="O61" s="5"/>
      <c r="P61" s="5"/>
      <c r="Q61" s="5"/>
      <c r="R61" s="59"/>
      <c r="S61" s="5"/>
      <c r="T61" s="11"/>
      <c r="U61" s="60"/>
      <c r="V61" s="5"/>
      <c r="W61" s="62" t="s">
        <v>61</v>
      </c>
      <c r="X61" s="63"/>
      <c r="Y61" s="27"/>
      <c r="Z61" s="5" t="s">
        <v>25</v>
      </c>
      <c r="AA61" s="64"/>
      <c r="AC61" s="27" t="s">
        <v>9</v>
      </c>
      <c r="AD61" s="5" t="s">
        <v>27</v>
      </c>
      <c r="AE61" s="5"/>
      <c r="AF61" s="5"/>
      <c r="AG61" s="5"/>
      <c r="AH61" s="5"/>
      <c r="AJ61" s="5"/>
      <c r="AK61" s="5"/>
      <c r="AL61" s="5"/>
      <c r="AM61" s="23"/>
      <c r="AN61" s="37"/>
    </row>
    <row r="62" spans="1:46" x14ac:dyDescent="0.2">
      <c r="A62" s="11"/>
      <c r="B62" s="11"/>
      <c r="C62" s="58"/>
      <c r="D62" s="58"/>
      <c r="E62" s="58"/>
      <c r="F62" s="58"/>
      <c r="G62" s="58"/>
      <c r="H62" s="5"/>
      <c r="I62" s="5"/>
      <c r="J62" s="5"/>
      <c r="K62" s="5"/>
      <c r="L62" s="5"/>
      <c r="M62" s="5"/>
      <c r="N62" s="5"/>
      <c r="O62" s="5"/>
      <c r="P62" s="5"/>
      <c r="Q62" s="5"/>
      <c r="R62" s="59"/>
      <c r="S62" s="5"/>
      <c r="T62" s="11"/>
      <c r="U62" s="5"/>
      <c r="V62" s="5"/>
      <c r="W62" s="13" t="s">
        <v>62</v>
      </c>
      <c r="X62" s="5"/>
      <c r="Y62" s="31"/>
      <c r="Z62" s="5"/>
      <c r="AA62" s="5"/>
      <c r="AC62" s="31"/>
      <c r="AD62" s="5"/>
      <c r="AE62" s="5"/>
      <c r="AF62" s="5"/>
      <c r="AG62" s="5"/>
      <c r="AH62" s="5"/>
      <c r="AJ62" s="5"/>
      <c r="AK62" s="5"/>
      <c r="AL62" s="5"/>
      <c r="AM62" s="59"/>
      <c r="AN62" s="65"/>
    </row>
    <row r="63" spans="1:46" x14ac:dyDescent="0.2">
      <c r="A63" s="11"/>
      <c r="B63" s="11"/>
      <c r="C63" s="66"/>
      <c r="D63" s="66"/>
      <c r="E63" s="66"/>
      <c r="F63" s="66"/>
      <c r="G63" s="66"/>
      <c r="H63" s="67" t="s">
        <v>63</v>
      </c>
      <c r="I63" s="63" t="s">
        <v>64</v>
      </c>
      <c r="J63" s="68" t="s">
        <v>65</v>
      </c>
      <c r="K63" s="68"/>
      <c r="L63" s="68"/>
      <c r="M63" s="68"/>
      <c r="N63" s="68"/>
      <c r="O63" s="68"/>
      <c r="P63" s="68"/>
      <c r="Q63" s="5"/>
      <c r="R63" s="59"/>
      <c r="S63" s="5"/>
      <c r="T63" s="11"/>
      <c r="U63" s="5"/>
      <c r="V63" s="5"/>
      <c r="AE63" s="5"/>
      <c r="AF63" s="5"/>
      <c r="AG63" s="5"/>
      <c r="AH63" s="5"/>
      <c r="AJ63" s="5"/>
      <c r="AK63" s="5"/>
      <c r="AL63" s="5"/>
      <c r="AM63" s="59"/>
      <c r="AN63" s="65"/>
    </row>
    <row r="64" spans="1:46" x14ac:dyDescent="0.2">
      <c r="A64" s="11"/>
      <c r="B64" s="11"/>
      <c r="C64" s="66"/>
      <c r="D64" s="66"/>
      <c r="E64" s="66"/>
      <c r="F64" s="66"/>
      <c r="G64" s="66"/>
      <c r="H64" s="67" t="s">
        <v>66</v>
      </c>
      <c r="I64" s="63"/>
      <c r="J64" s="69"/>
      <c r="K64" s="69"/>
      <c r="L64" s="69"/>
      <c r="M64" s="69"/>
      <c r="N64" s="69"/>
      <c r="O64" s="69"/>
      <c r="P64" s="69"/>
      <c r="Q64" s="5"/>
      <c r="R64" s="59"/>
      <c r="S64" s="5"/>
      <c r="T64" s="11"/>
      <c r="U64" s="5"/>
      <c r="V64" s="5"/>
      <c r="W64" s="62" t="s">
        <v>67</v>
      </c>
      <c r="X64" s="63"/>
      <c r="Y64" s="27"/>
      <c r="Z64" s="5" t="s">
        <v>27</v>
      </c>
      <c r="AA64" s="5" t="s">
        <v>68</v>
      </c>
      <c r="AC64" s="27" t="str">
        <f>IF(D40&lt;&gt;"","x","")</f>
        <v/>
      </c>
      <c r="AD64" s="5" t="s">
        <v>25</v>
      </c>
      <c r="AE64" s="5"/>
      <c r="AF64" s="5"/>
      <c r="AG64" s="5"/>
      <c r="AH64" s="5"/>
      <c r="AJ64" s="5"/>
      <c r="AK64" s="5"/>
      <c r="AL64" s="5"/>
      <c r="AM64" s="59"/>
      <c r="AN64" s="65"/>
    </row>
    <row r="65" spans="1:41" x14ac:dyDescent="0.2">
      <c r="A65" s="11"/>
      <c r="B65" s="11"/>
      <c r="C65" s="5"/>
      <c r="D65" s="5"/>
      <c r="E65" s="5"/>
      <c r="F65" s="5"/>
      <c r="G65" s="5"/>
      <c r="H65" s="67" t="s">
        <v>69</v>
      </c>
      <c r="I65" s="63" t="s">
        <v>64</v>
      </c>
      <c r="J65" s="69" t="s">
        <v>70</v>
      </c>
      <c r="K65" s="69"/>
      <c r="L65" s="69"/>
      <c r="M65" s="69"/>
      <c r="N65" s="69"/>
      <c r="O65" s="69"/>
      <c r="P65" s="69"/>
      <c r="Q65" s="5"/>
      <c r="R65" s="59"/>
      <c r="S65" s="5"/>
      <c r="T65" s="11"/>
      <c r="U65" s="5"/>
      <c r="V65" s="5"/>
      <c r="W65" s="13" t="s">
        <v>62</v>
      </c>
      <c r="X65" s="5"/>
      <c r="Z65" s="5"/>
      <c r="AA65" s="5"/>
      <c r="AB65" s="5"/>
      <c r="AC65" s="5"/>
      <c r="AD65" s="5"/>
      <c r="AE65" s="5"/>
      <c r="AF65" s="5"/>
      <c r="AG65" s="5"/>
      <c r="AH65" s="5"/>
      <c r="AJ65" s="5"/>
      <c r="AK65" s="5"/>
      <c r="AL65" s="5"/>
      <c r="AM65" s="59"/>
      <c r="AN65" s="65"/>
    </row>
    <row r="66" spans="1:41" x14ac:dyDescent="0.2">
      <c r="A66" s="11"/>
      <c r="B66" s="11"/>
      <c r="C66" s="5"/>
      <c r="D66" s="5"/>
      <c r="E66" s="5"/>
      <c r="F66" s="5"/>
      <c r="G66" s="5"/>
      <c r="H66" s="67"/>
      <c r="I66" s="63"/>
      <c r="J66" s="69"/>
      <c r="K66" s="69"/>
      <c r="L66" s="69"/>
      <c r="M66" s="69"/>
      <c r="N66" s="69"/>
      <c r="O66" s="69"/>
      <c r="P66" s="69"/>
      <c r="Q66" s="5"/>
      <c r="R66" s="59"/>
      <c r="S66" s="5"/>
      <c r="T66" s="11"/>
      <c r="U66" s="5"/>
      <c r="V66" s="5"/>
      <c r="W66" s="13"/>
      <c r="X66" s="5"/>
      <c r="Z66" s="5"/>
      <c r="AA66" s="5"/>
      <c r="AB66" s="5"/>
      <c r="AC66" s="5"/>
      <c r="AD66" s="5"/>
      <c r="AE66" s="5"/>
      <c r="AF66" s="5"/>
      <c r="AG66" s="5"/>
      <c r="AH66" s="5"/>
      <c r="AJ66" s="5"/>
      <c r="AK66" s="5"/>
      <c r="AL66" s="5"/>
      <c r="AM66" s="59"/>
      <c r="AN66" s="65"/>
    </row>
    <row r="67" spans="1:41" x14ac:dyDescent="0.2">
      <c r="A67" s="11"/>
      <c r="B67" s="11"/>
      <c r="C67" s="5"/>
      <c r="D67" s="5"/>
      <c r="E67" s="5"/>
      <c r="F67" s="5"/>
      <c r="G67" s="5"/>
      <c r="H67" s="67"/>
      <c r="I67" s="63"/>
      <c r="J67" s="69"/>
      <c r="K67" s="69"/>
      <c r="L67" s="69"/>
      <c r="M67" s="69"/>
      <c r="N67" s="69"/>
      <c r="O67" s="69"/>
      <c r="P67" s="69"/>
      <c r="Q67" s="5"/>
      <c r="R67" s="59"/>
      <c r="S67" s="5"/>
      <c r="T67" s="11"/>
      <c r="U67" s="5"/>
      <c r="V67" s="5"/>
      <c r="W67" s="67" t="s">
        <v>71</v>
      </c>
      <c r="X67" s="5"/>
      <c r="Y67" s="27" t="str">
        <f>IF(D40&lt;&gt;"","x","")</f>
        <v/>
      </c>
      <c r="Z67" s="5" t="s">
        <v>72</v>
      </c>
      <c r="AA67" s="5"/>
      <c r="AB67" s="5"/>
      <c r="AC67" s="5"/>
      <c r="AD67" s="5"/>
      <c r="AE67" s="5"/>
      <c r="AF67" s="5"/>
      <c r="AG67" s="5"/>
      <c r="AH67" s="5"/>
      <c r="AJ67" s="5"/>
      <c r="AK67" s="5"/>
      <c r="AL67" s="5"/>
      <c r="AM67" s="59"/>
      <c r="AN67" s="65"/>
    </row>
    <row r="68" spans="1:41" x14ac:dyDescent="0.2">
      <c r="A68" s="11"/>
      <c r="B68" s="11"/>
      <c r="C68" s="5"/>
      <c r="D68" s="5"/>
      <c r="E68" s="5"/>
      <c r="F68" s="5"/>
      <c r="G68" s="5"/>
      <c r="H68" s="67"/>
      <c r="I68" s="63"/>
      <c r="J68" s="69"/>
      <c r="K68" s="69"/>
      <c r="L68" s="69"/>
      <c r="M68" s="69"/>
      <c r="N68" s="69"/>
      <c r="O68" s="69"/>
      <c r="P68" s="69"/>
      <c r="Q68" s="5"/>
      <c r="R68" s="59"/>
      <c r="S68" s="5"/>
      <c r="T68" s="11"/>
      <c r="U68" s="5"/>
      <c r="V68" s="5"/>
      <c r="W68" s="13"/>
      <c r="X68" s="5"/>
      <c r="Y68" s="28"/>
      <c r="Z68" s="5" t="s">
        <v>73</v>
      </c>
      <c r="AA68" s="5"/>
      <c r="AB68" s="5"/>
      <c r="AC68" s="5"/>
      <c r="AD68" s="5"/>
      <c r="AE68" s="5"/>
      <c r="AF68" s="5"/>
      <c r="AG68" s="5"/>
      <c r="AH68" s="5"/>
      <c r="AJ68" s="5"/>
      <c r="AK68" s="5"/>
      <c r="AL68" s="5"/>
      <c r="AM68" s="59"/>
      <c r="AN68" s="65"/>
    </row>
    <row r="69" spans="1:41" x14ac:dyDescent="0.2">
      <c r="A69" s="11"/>
      <c r="B69" s="11"/>
      <c r="C69" s="5"/>
      <c r="D69" s="5"/>
      <c r="E69" s="5"/>
      <c r="F69" s="5"/>
      <c r="G69" s="5"/>
      <c r="H69" s="67"/>
      <c r="I69" s="63"/>
      <c r="J69" s="69"/>
      <c r="K69" s="69"/>
      <c r="L69" s="69"/>
      <c r="M69" s="69"/>
      <c r="N69" s="69"/>
      <c r="O69" s="69"/>
      <c r="P69" s="69"/>
      <c r="Q69" s="5"/>
      <c r="R69" s="59"/>
      <c r="S69" s="5"/>
      <c r="T69" s="11"/>
      <c r="U69" s="5"/>
      <c r="W69" s="13" t="s">
        <v>62</v>
      </c>
      <c r="X69" s="5"/>
      <c r="Y69" s="31"/>
      <c r="Z69" s="5"/>
      <c r="AA69" s="5"/>
      <c r="AB69" s="5"/>
      <c r="AC69" s="5"/>
      <c r="AD69" s="5"/>
      <c r="AE69" s="5"/>
      <c r="AF69" s="5"/>
      <c r="AG69" s="5"/>
      <c r="AH69" s="5"/>
      <c r="AJ69" s="5"/>
      <c r="AK69" s="5"/>
      <c r="AL69" s="5"/>
      <c r="AM69" s="59"/>
      <c r="AN69" s="65"/>
    </row>
    <row r="70" spans="1:41" x14ac:dyDescent="0.2">
      <c r="A70" s="11"/>
      <c r="B70" s="11"/>
      <c r="C70" s="5"/>
      <c r="D70" s="5"/>
      <c r="E70" s="5"/>
      <c r="F70" s="5"/>
      <c r="G70" s="5"/>
      <c r="H70" s="67"/>
      <c r="I70" s="63"/>
      <c r="J70" s="69"/>
      <c r="K70" s="69"/>
      <c r="L70" s="69"/>
      <c r="M70" s="69"/>
      <c r="N70" s="69"/>
      <c r="O70" s="69"/>
      <c r="P70" s="69"/>
      <c r="Q70" s="5"/>
      <c r="R70" s="59"/>
      <c r="S70" s="5"/>
      <c r="T70" s="11"/>
      <c r="U70" s="5"/>
      <c r="V70" s="29"/>
      <c r="W70" s="67"/>
      <c r="X70" s="5"/>
      <c r="Y70" s="5"/>
      <c r="AF70" s="5"/>
      <c r="AG70" s="5"/>
      <c r="AH70" s="5"/>
      <c r="AJ70" s="5"/>
      <c r="AK70" s="5"/>
      <c r="AL70" s="5"/>
      <c r="AM70" s="59"/>
      <c r="AN70" s="65"/>
    </row>
    <row r="71" spans="1:41" x14ac:dyDescent="0.2">
      <c r="A71" s="11"/>
      <c r="B71" s="11"/>
      <c r="C71" s="5"/>
      <c r="D71" s="5"/>
      <c r="E71" s="5"/>
      <c r="F71" s="5"/>
      <c r="G71" s="5"/>
      <c r="H71" s="67" t="s">
        <v>74</v>
      </c>
      <c r="I71" s="63" t="s">
        <v>64</v>
      </c>
      <c r="J71" s="69" t="s">
        <v>75</v>
      </c>
      <c r="K71" s="69"/>
      <c r="L71" s="69"/>
      <c r="M71" s="69"/>
      <c r="N71" s="69"/>
      <c r="O71" s="69"/>
      <c r="P71" s="69"/>
      <c r="Q71" s="5"/>
      <c r="R71" s="59"/>
      <c r="S71" s="5"/>
      <c r="T71" s="11"/>
      <c r="U71" s="5"/>
      <c r="V71" s="5"/>
      <c r="W71" s="5"/>
      <c r="X71" s="5"/>
      <c r="Y71" s="31"/>
      <c r="Z71" s="5"/>
      <c r="AA71" s="67" t="s">
        <v>76</v>
      </c>
      <c r="AC71" s="70"/>
      <c r="AD71" s="70"/>
      <c r="AE71" s="70"/>
      <c r="AF71" s="70"/>
      <c r="AG71" s="5"/>
      <c r="AH71" s="5"/>
      <c r="AJ71" s="5"/>
      <c r="AK71" s="5"/>
      <c r="AL71" s="5"/>
      <c r="AM71" s="59"/>
      <c r="AN71" s="65"/>
    </row>
    <row r="72" spans="1:41" x14ac:dyDescent="0.2">
      <c r="A72" s="11"/>
      <c r="B72" s="11"/>
      <c r="C72" s="5"/>
      <c r="D72" s="5"/>
      <c r="E72" s="5"/>
      <c r="F72" s="5"/>
      <c r="G72" s="5"/>
      <c r="H72" s="67" t="s">
        <v>77</v>
      </c>
      <c r="I72" s="63" t="s">
        <v>64</v>
      </c>
      <c r="J72" s="71">
        <v>1930</v>
      </c>
      <c r="K72" s="71"/>
      <c r="L72" s="71"/>
      <c r="M72" s="71"/>
      <c r="N72" s="71"/>
      <c r="O72" s="71"/>
      <c r="P72" s="71"/>
      <c r="Q72" s="5"/>
      <c r="R72" s="59"/>
      <c r="S72" s="5"/>
      <c r="T72" s="11"/>
      <c r="U72" s="5"/>
      <c r="V72" s="5"/>
      <c r="W72" s="5"/>
      <c r="X72" s="5"/>
      <c r="Y72" s="5"/>
      <c r="Z72" s="5"/>
      <c r="AA72" s="72"/>
      <c r="AF72" s="5"/>
      <c r="AG72" s="5"/>
      <c r="AH72" s="5"/>
      <c r="AJ72" s="5"/>
      <c r="AK72" s="5"/>
      <c r="AL72" s="5"/>
      <c r="AM72" s="59"/>
      <c r="AN72" s="65"/>
    </row>
    <row r="73" spans="1:41" x14ac:dyDescent="0.2">
      <c r="A73" s="11"/>
      <c r="B73" s="11"/>
      <c r="C73" s="5"/>
      <c r="D73" s="5"/>
      <c r="E73" s="5"/>
      <c r="F73" s="5"/>
      <c r="G73" s="5"/>
      <c r="H73" s="67" t="str">
        <f>IF(D40&lt;&gt;"","Use the country below","Service Country")</f>
        <v>Service Country</v>
      </c>
      <c r="I73" s="63" t="str">
        <f>IF(D40&lt;&gt;"","","*")</f>
        <v>*</v>
      </c>
      <c r="J73" s="73" t="s">
        <v>78</v>
      </c>
      <c r="K73" s="73"/>
      <c r="L73" s="73"/>
      <c r="M73" s="73"/>
      <c r="N73" s="73"/>
      <c r="O73" s="73"/>
      <c r="P73" s="73"/>
      <c r="Q73" s="5"/>
      <c r="R73" s="59"/>
      <c r="S73" s="5"/>
      <c r="T73" s="11"/>
      <c r="U73" s="5"/>
      <c r="V73" s="5"/>
      <c r="W73" s="5"/>
      <c r="X73" s="5"/>
      <c r="Y73" s="5"/>
      <c r="Z73" s="5"/>
      <c r="AA73" s="62" t="s">
        <v>79</v>
      </c>
      <c r="AC73" s="70"/>
      <c r="AD73" s="70"/>
      <c r="AE73" s="70"/>
      <c r="AF73" s="70"/>
      <c r="AG73" s="5"/>
      <c r="AH73" s="5"/>
      <c r="AJ73" s="5"/>
      <c r="AK73" s="5"/>
      <c r="AL73" s="5"/>
      <c r="AM73" s="59"/>
      <c r="AN73" s="65"/>
      <c r="AO73" s="3" t="str">
        <f>back!B11</f>
        <v>AT</v>
      </c>
    </row>
    <row r="74" spans="1:41" ht="14.25" x14ac:dyDescent="0.2">
      <c r="A74" s="11"/>
      <c r="B74" s="11"/>
      <c r="C74" s="5"/>
      <c r="D74" s="5"/>
      <c r="E74" s="5"/>
      <c r="F74" s="5" t="str">
        <f>IF(D40&lt;&gt;"","DCA Country:","")</f>
        <v/>
      </c>
      <c r="G74" s="5"/>
      <c r="H74" s="67"/>
      <c r="I74" s="63"/>
      <c r="J74" s="74"/>
      <c r="K74" s="75"/>
      <c r="L74" s="75"/>
      <c r="M74" s="75"/>
      <c r="N74" s="75"/>
      <c r="O74" s="75"/>
      <c r="P74" s="75"/>
      <c r="Q74" s="5"/>
      <c r="R74" s="59"/>
      <c r="S74" s="5"/>
      <c r="T74" s="11"/>
      <c r="U74" s="5"/>
      <c r="V74" s="5"/>
      <c r="W74" s="5"/>
      <c r="X74" s="5"/>
      <c r="Y74" s="5"/>
      <c r="Z74" s="5"/>
      <c r="AA74" s="62" t="s">
        <v>80</v>
      </c>
      <c r="AB74" s="5"/>
      <c r="AC74" s="76"/>
      <c r="AD74" s="76"/>
      <c r="AE74" s="76"/>
      <c r="AF74" s="76"/>
      <c r="AG74" s="5"/>
      <c r="AH74" s="5"/>
      <c r="AJ74" s="5"/>
      <c r="AK74" s="5"/>
      <c r="AL74" s="5"/>
      <c r="AM74" s="59"/>
      <c r="AN74" s="65"/>
      <c r="AO74" s="3" t="str">
        <f>back!B12</f>
        <v>BE</v>
      </c>
    </row>
    <row r="75" spans="1:41" x14ac:dyDescent="0.2">
      <c r="A75" s="11"/>
      <c r="B75" s="11"/>
      <c r="C75" s="5"/>
      <c r="D75" s="5"/>
      <c r="E75" s="5"/>
      <c r="F75" s="5"/>
      <c r="G75" s="5"/>
      <c r="H75" s="67" t="str">
        <f>IF(back!C11=14,"Please specify the country:","")</f>
        <v/>
      </c>
      <c r="I75" s="5"/>
      <c r="J75" s="77"/>
      <c r="K75" s="77"/>
      <c r="L75" s="77"/>
      <c r="M75" s="77"/>
      <c r="N75" s="77"/>
      <c r="O75" s="77"/>
      <c r="P75" s="77"/>
      <c r="Q75" s="5"/>
      <c r="R75" s="59"/>
      <c r="S75" s="5"/>
      <c r="T75" s="11"/>
      <c r="U75" s="5"/>
      <c r="V75" s="5"/>
      <c r="W75" s="5"/>
      <c r="X75" s="5"/>
      <c r="Y75" s="5"/>
      <c r="Z75" s="5"/>
      <c r="AF75" s="5"/>
      <c r="AG75" s="5"/>
      <c r="AH75" s="5"/>
      <c r="AJ75" s="5"/>
      <c r="AK75" s="5"/>
      <c r="AL75" s="5"/>
      <c r="AM75" s="59"/>
      <c r="AN75" s="65"/>
      <c r="AO75" s="3" t="str">
        <f>back!B13</f>
        <v>DK</v>
      </c>
    </row>
    <row r="76" spans="1:41" x14ac:dyDescent="0.2">
      <c r="A76" s="11"/>
      <c r="B76" s="11"/>
      <c r="C76" s="5"/>
      <c r="D76" s="5"/>
      <c r="E76" s="5"/>
      <c r="F76" s="5"/>
      <c r="G76" s="5"/>
      <c r="H76" s="67"/>
      <c r="I76" s="5"/>
      <c r="J76" s="78"/>
      <c r="K76" s="78"/>
      <c r="L76" s="78"/>
      <c r="M76" s="78"/>
      <c r="N76" s="78"/>
      <c r="O76" s="78"/>
      <c r="P76" s="78"/>
      <c r="Q76" s="5"/>
      <c r="R76" s="59"/>
      <c r="S76" s="5"/>
      <c r="T76" s="11"/>
      <c r="U76" s="5"/>
      <c r="V76" s="5"/>
      <c r="W76" s="5"/>
      <c r="X76" s="5"/>
      <c r="Y76" s="5"/>
      <c r="AA76" s="62" t="s">
        <v>81</v>
      </c>
      <c r="AB76" s="63" t="s">
        <v>64</v>
      </c>
      <c r="AC76" s="30" t="s">
        <v>82</v>
      </c>
      <c r="AD76" s="30"/>
      <c r="AE76" s="30"/>
      <c r="AF76" s="30"/>
      <c r="AG76" s="5"/>
      <c r="AH76" s="5"/>
      <c r="AJ76" s="5"/>
      <c r="AK76" s="5"/>
      <c r="AL76" s="5"/>
      <c r="AM76" s="59"/>
      <c r="AN76" s="65"/>
      <c r="AO76" s="3" t="str">
        <f>back!B14</f>
        <v>FR</v>
      </c>
    </row>
    <row r="77" spans="1:41" x14ac:dyDescent="0.2">
      <c r="A77" s="11"/>
      <c r="B77" s="11"/>
      <c r="C77" s="5"/>
      <c r="D77" s="5"/>
      <c r="E77" s="5"/>
      <c r="F77" s="5"/>
      <c r="G77" s="5"/>
      <c r="H77" s="67" t="s">
        <v>83</v>
      </c>
      <c r="I77" s="63" t="s">
        <v>64</v>
      </c>
      <c r="J77" s="79" t="s">
        <v>98</v>
      </c>
      <c r="K77" s="79"/>
      <c r="L77" s="79"/>
      <c r="M77" s="79"/>
      <c r="N77" s="79"/>
      <c r="O77" s="79"/>
      <c r="P77" s="79"/>
      <c r="Q77" s="5"/>
      <c r="R77" s="59"/>
      <c r="S77" s="5"/>
      <c r="T77" s="11"/>
      <c r="U77" s="5"/>
      <c r="V77" s="5"/>
      <c r="AA77" s="62" t="s">
        <v>84</v>
      </c>
      <c r="AB77" s="63" t="s">
        <v>64</v>
      </c>
      <c r="AC77" s="71" t="s">
        <v>85</v>
      </c>
      <c r="AD77" s="71"/>
      <c r="AE77" s="71"/>
      <c r="AF77" s="71"/>
      <c r="AG77" s="5"/>
      <c r="AH77" s="5"/>
      <c r="AJ77" s="5"/>
      <c r="AK77" s="5"/>
      <c r="AL77" s="5"/>
      <c r="AM77" s="23"/>
      <c r="AN77" s="37"/>
      <c r="AO77" s="3" t="str">
        <f>back!B15</f>
        <v>DE</v>
      </c>
    </row>
    <row r="78" spans="1:41" x14ac:dyDescent="0.2">
      <c r="A78" s="11"/>
      <c r="B78" s="11"/>
      <c r="C78" s="5"/>
      <c r="D78" s="5"/>
      <c r="E78" s="5"/>
      <c r="F78" s="5"/>
      <c r="G78" s="5"/>
      <c r="H78" s="67" t="s">
        <v>86</v>
      </c>
      <c r="I78" s="5"/>
      <c r="J78" s="80"/>
      <c r="K78" s="80"/>
      <c r="L78" s="80"/>
      <c r="M78" s="80"/>
      <c r="N78" s="81"/>
      <c r="O78" s="81"/>
      <c r="P78" s="81"/>
      <c r="Q78" s="5"/>
      <c r="R78" s="59"/>
      <c r="S78" s="5"/>
      <c r="T78" s="11"/>
      <c r="U78" s="5"/>
      <c r="V78" s="5"/>
      <c r="AA78" s="62" t="s">
        <v>87</v>
      </c>
      <c r="AB78" s="5"/>
      <c r="AC78" s="82" t="s">
        <v>88</v>
      </c>
      <c r="AD78" s="83"/>
      <c r="AE78" s="83"/>
      <c r="AF78" s="83"/>
      <c r="AG78" s="83"/>
      <c r="AH78" s="83"/>
      <c r="AI78" s="83"/>
      <c r="AJ78" s="83"/>
      <c r="AK78" s="83"/>
      <c r="AL78" s="83"/>
      <c r="AM78" s="23"/>
      <c r="AN78" s="37"/>
      <c r="AO78" s="3" t="str">
        <f>back!B16</f>
        <v>IE</v>
      </c>
    </row>
    <row r="79" spans="1:41" x14ac:dyDescent="0.2">
      <c r="A79" s="11"/>
      <c r="B79" s="11"/>
      <c r="C79" s="5"/>
      <c r="D79" s="5"/>
      <c r="E79" s="5"/>
      <c r="F79" s="5"/>
      <c r="G79" s="5"/>
      <c r="H79" s="67" t="s">
        <v>89</v>
      </c>
      <c r="I79" s="63" t="s">
        <v>64</v>
      </c>
      <c r="J79" s="296" t="s">
        <v>99</v>
      </c>
      <c r="K79" s="84"/>
      <c r="L79" s="84"/>
      <c r="M79" s="84"/>
      <c r="N79" s="84"/>
      <c r="O79" s="84"/>
      <c r="P79" s="84"/>
      <c r="Q79" s="85"/>
      <c r="R79" s="59"/>
      <c r="S79" s="5"/>
      <c r="T79" s="11"/>
      <c r="U79" s="5"/>
      <c r="V79" s="5"/>
      <c r="AF79" s="5"/>
      <c r="AG79" s="5"/>
      <c r="AH79" s="5"/>
      <c r="AJ79" s="5"/>
      <c r="AK79" s="5"/>
      <c r="AL79" s="5"/>
      <c r="AM79" s="23"/>
      <c r="AN79" s="37"/>
      <c r="AO79" s="3" t="str">
        <f>back!B17</f>
        <v>IT</v>
      </c>
    </row>
    <row r="80" spans="1:41" x14ac:dyDescent="0.2">
      <c r="A80" s="11"/>
      <c r="B80" s="11"/>
      <c r="C80" s="5"/>
      <c r="D80" s="5"/>
      <c r="E80" s="5"/>
      <c r="F80" s="5"/>
      <c r="G80" s="5"/>
      <c r="H80" s="67" t="s">
        <v>90</v>
      </c>
      <c r="I80" s="63" t="s">
        <v>64</v>
      </c>
      <c r="J80" s="86" t="s">
        <v>1175</v>
      </c>
      <c r="K80" s="86"/>
      <c r="L80" s="86"/>
      <c r="M80" s="86"/>
      <c r="N80" s="86"/>
      <c r="O80" s="86"/>
      <c r="P80" s="86"/>
      <c r="Q80" s="5"/>
      <c r="R80" s="59"/>
      <c r="S80" s="5"/>
      <c r="T80" s="11"/>
      <c r="U80" s="5"/>
      <c r="V80" s="5"/>
      <c r="W80" s="5"/>
      <c r="X80" s="62"/>
      <c r="Y80" s="63"/>
      <c r="Z80" s="5"/>
      <c r="AA80" s="67" t="s">
        <v>91</v>
      </c>
      <c r="AB80" s="64"/>
      <c r="AC80" s="27" t="str">
        <f>IF(D40&lt;&gt;"","x","")</f>
        <v/>
      </c>
      <c r="AD80" s="5" t="s">
        <v>27</v>
      </c>
      <c r="AE80" s="27"/>
      <c r="AF80" s="5" t="s">
        <v>25</v>
      </c>
      <c r="AG80" s="5"/>
      <c r="AH80" s="5"/>
      <c r="AI80" s="5"/>
      <c r="AJ80" s="5"/>
      <c r="AK80" s="5"/>
      <c r="AL80" s="5"/>
      <c r="AM80" s="23"/>
      <c r="AN80" s="37"/>
      <c r="AO80" s="3" t="str">
        <f>back!B18</f>
        <v>NL</v>
      </c>
    </row>
    <row r="81" spans="1:41" x14ac:dyDescent="0.2">
      <c r="A81" s="11"/>
      <c r="B81" s="11"/>
      <c r="C81" s="5"/>
      <c r="D81" s="5"/>
      <c r="E81" s="5"/>
      <c r="F81" s="5"/>
      <c r="G81" s="5"/>
      <c r="H81" s="67" t="s">
        <v>92</v>
      </c>
      <c r="I81" s="5"/>
      <c r="J81" s="87"/>
      <c r="K81" s="87"/>
      <c r="L81" s="87"/>
      <c r="M81" s="87"/>
      <c r="N81" s="87"/>
      <c r="O81" s="87"/>
      <c r="P81" s="87"/>
      <c r="Q81" s="5"/>
      <c r="R81" s="59"/>
      <c r="S81" s="5"/>
      <c r="T81" s="11"/>
      <c r="U81" s="5"/>
      <c r="V81" s="5"/>
      <c r="AC81" s="5"/>
      <c r="AD81" s="5"/>
      <c r="AE81" s="5"/>
      <c r="AF81" s="29" t="s">
        <v>15</v>
      </c>
      <c r="AG81" s="5"/>
      <c r="AH81" s="5"/>
      <c r="AI81" s="62" t="s">
        <v>93</v>
      </c>
      <c r="AJ81" s="5"/>
      <c r="AK81" s="88"/>
      <c r="AL81" s="88"/>
      <c r="AM81" s="23"/>
      <c r="AN81" s="37"/>
      <c r="AO81" s="3" t="str">
        <f>back!B19</f>
        <v>PT</v>
      </c>
    </row>
    <row r="82" spans="1:41" x14ac:dyDescent="0.2">
      <c r="A82" s="11"/>
      <c r="B82" s="11"/>
      <c r="C82" s="5"/>
      <c r="D82" s="5"/>
      <c r="E82" s="5"/>
      <c r="F82" s="5"/>
      <c r="G82" s="5"/>
      <c r="H82" s="67" t="s">
        <v>94</v>
      </c>
      <c r="I82" s="5"/>
      <c r="J82" s="69"/>
      <c r="K82" s="69"/>
      <c r="L82" s="69"/>
      <c r="M82" s="69"/>
      <c r="N82" s="69"/>
      <c r="O82" s="69"/>
      <c r="P82" s="69"/>
      <c r="Q82" s="5"/>
      <c r="R82" s="59"/>
      <c r="S82" s="5"/>
      <c r="T82" s="11"/>
      <c r="U82" s="5"/>
      <c r="V82" s="5"/>
      <c r="AG82" s="5"/>
      <c r="AH82" s="5"/>
      <c r="AL82" s="5"/>
      <c r="AM82" s="23"/>
      <c r="AO82" s="3" t="str">
        <f>back!B20</f>
        <v>ES</v>
      </c>
    </row>
    <row r="83" spans="1:41" x14ac:dyDescent="0.2">
      <c r="A83" s="11"/>
      <c r="B83" s="11"/>
      <c r="C83" s="5"/>
      <c r="D83" s="5"/>
      <c r="E83" s="5"/>
      <c r="F83" s="5"/>
      <c r="G83" s="5"/>
      <c r="H83" s="67" t="s">
        <v>95</v>
      </c>
      <c r="I83" s="63" t="s">
        <v>64</v>
      </c>
      <c r="J83" s="86" t="s">
        <v>1176</v>
      </c>
      <c r="K83" s="86"/>
      <c r="L83" s="86"/>
      <c r="M83" s="86"/>
      <c r="N83" s="86"/>
      <c r="O83" s="86"/>
      <c r="P83" s="86"/>
      <c r="Q83" s="5"/>
      <c r="R83" s="59"/>
      <c r="S83" s="5"/>
      <c r="T83" s="89" t="str">
        <f>IF(back!C4=6,"The CPE Router needs to be installed at a position with good mobile data coverage for your chosen mobile operator,","")</f>
        <v/>
      </c>
      <c r="AB83" s="5"/>
      <c r="AD83" s="5"/>
      <c r="AE83" s="5"/>
      <c r="AF83" s="5"/>
      <c r="AL83" s="5"/>
      <c r="AM83" s="23"/>
      <c r="AO83" s="3" t="str">
        <f>back!B21</f>
        <v>SE</v>
      </c>
    </row>
    <row r="84" spans="1:41" x14ac:dyDescent="0.2">
      <c r="A84" s="11"/>
      <c r="B84" s="24"/>
      <c r="C84" s="14"/>
      <c r="D84" s="14"/>
      <c r="E84" s="14"/>
      <c r="F84" s="14"/>
      <c r="G84" s="14"/>
      <c r="H84" s="14"/>
      <c r="I84" s="14"/>
      <c r="J84" s="14"/>
      <c r="K84" s="14"/>
      <c r="L84" s="14"/>
      <c r="M84" s="14"/>
      <c r="N84" s="14"/>
      <c r="O84" s="14"/>
      <c r="P84" s="14"/>
      <c r="Q84" s="14"/>
      <c r="R84" s="90"/>
      <c r="S84" s="5"/>
      <c r="T84" s="91" t="str">
        <f>IF(back!C4=6," i.e. not in a closed IT room or rack! Acceptable signal strength should be between -89dBm to -69dBm or better.","")</f>
        <v/>
      </c>
      <c r="U84" s="14"/>
      <c r="V84" s="14"/>
      <c r="W84" s="14"/>
      <c r="X84" s="14"/>
      <c r="Y84" s="14"/>
      <c r="Z84" s="14"/>
      <c r="AA84" s="14"/>
      <c r="AB84" s="14"/>
      <c r="AC84" s="14"/>
      <c r="AD84" s="14"/>
      <c r="AE84" s="14"/>
      <c r="AF84" s="14"/>
      <c r="AG84" s="14"/>
      <c r="AH84" s="14"/>
      <c r="AI84" s="14"/>
      <c r="AJ84" s="14"/>
      <c r="AK84" s="14"/>
      <c r="AL84" s="14"/>
      <c r="AM84" s="26"/>
      <c r="AO84" s="3" t="str">
        <f>back!B22</f>
        <v>CH</v>
      </c>
    </row>
    <row r="85" spans="1:41" x14ac:dyDescent="0.2">
      <c r="A85" s="11"/>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4"/>
      <c r="AF85" s="14"/>
      <c r="AG85" s="14"/>
      <c r="AH85" s="14"/>
      <c r="AI85" s="14"/>
      <c r="AJ85" s="14"/>
      <c r="AK85" s="14"/>
      <c r="AL85" s="14"/>
      <c r="AM85" s="15"/>
      <c r="AO85" s="3" t="str">
        <f>back!B23</f>
        <v>UK</v>
      </c>
    </row>
    <row r="86" spans="1:41" x14ac:dyDescent="0.2">
      <c r="A86" s="11"/>
      <c r="B86" s="16"/>
      <c r="C86" s="92" t="s">
        <v>96</v>
      </c>
      <c r="D86" s="93"/>
      <c r="E86" s="93"/>
      <c r="F86" s="93"/>
      <c r="G86" s="94"/>
      <c r="H86" s="17"/>
      <c r="I86" s="17"/>
      <c r="J86" s="17"/>
      <c r="K86" s="17"/>
      <c r="L86" s="17"/>
      <c r="M86" s="17"/>
      <c r="N86" s="17"/>
      <c r="O86" s="17"/>
      <c r="P86" s="95"/>
      <c r="Q86" s="95"/>
      <c r="R86" s="95"/>
      <c r="S86" s="95"/>
      <c r="T86" s="95"/>
      <c r="U86" s="95"/>
      <c r="V86" s="96"/>
      <c r="W86" s="96"/>
      <c r="X86" s="96"/>
      <c r="Y86" s="96"/>
      <c r="Z86" s="96"/>
      <c r="AA86" s="96"/>
      <c r="AB86" s="96"/>
      <c r="AC86" s="96"/>
      <c r="AD86" s="17"/>
      <c r="AE86" s="5"/>
      <c r="AF86" s="5"/>
      <c r="AM86" s="19"/>
      <c r="AO86" s="3" t="str">
        <f>back!B24</f>
        <v>Other</v>
      </c>
    </row>
    <row r="87" spans="1:41" x14ac:dyDescent="0.2">
      <c r="A87" s="11"/>
      <c r="B87" s="97"/>
      <c r="C87" s="62"/>
      <c r="D87" s="62"/>
      <c r="E87" s="62"/>
      <c r="F87" s="62"/>
      <c r="G87" s="61"/>
      <c r="H87" s="5"/>
      <c r="I87" s="5"/>
      <c r="J87" s="5"/>
      <c r="K87" s="5"/>
      <c r="L87" s="5"/>
      <c r="M87" s="5"/>
      <c r="N87" s="5"/>
      <c r="O87" s="5"/>
      <c r="P87" s="63"/>
      <c r="Q87" s="63"/>
      <c r="R87" s="63"/>
      <c r="S87" s="63"/>
      <c r="T87" s="63"/>
      <c r="U87" s="63"/>
      <c r="V87" s="7"/>
      <c r="W87" s="7"/>
      <c r="X87" s="7"/>
      <c r="Y87" s="7"/>
      <c r="Z87" s="7"/>
      <c r="AA87" s="7"/>
      <c r="AB87" s="7"/>
      <c r="AC87" s="7"/>
      <c r="AD87" s="5"/>
      <c r="AE87" s="5"/>
      <c r="AF87" s="5"/>
      <c r="AM87" s="23"/>
      <c r="AO87" s="3" t="str">
        <f>back!B25</f>
        <v>LU</v>
      </c>
    </row>
    <row r="88" spans="1:41" x14ac:dyDescent="0.2">
      <c r="A88" s="11"/>
      <c r="B88" s="11"/>
      <c r="C88" s="5"/>
      <c r="D88" s="5"/>
      <c r="E88" s="5"/>
      <c r="F88" s="5"/>
      <c r="G88" s="5"/>
      <c r="H88" s="5"/>
      <c r="I88" s="5"/>
      <c r="J88" s="5"/>
      <c r="K88" s="5"/>
      <c r="L88" s="5"/>
      <c r="M88" s="5"/>
      <c r="N88" s="5"/>
      <c r="O88" s="5"/>
      <c r="P88" s="5"/>
      <c r="Q88" s="5"/>
      <c r="R88" s="5"/>
      <c r="S88" s="67" t="s">
        <v>97</v>
      </c>
      <c r="T88" s="61" t="s">
        <v>64</v>
      </c>
      <c r="U88" s="68" t="s">
        <v>98</v>
      </c>
      <c r="V88" s="68"/>
      <c r="W88" s="68"/>
      <c r="X88" s="68"/>
      <c r="Y88" s="68"/>
      <c r="Z88" s="68"/>
      <c r="AA88" s="68"/>
      <c r="AB88" s="5"/>
      <c r="AC88" s="5"/>
      <c r="AD88" s="5"/>
      <c r="AE88" s="5"/>
      <c r="AF88" s="5"/>
      <c r="AM88" s="23"/>
    </row>
    <row r="89" spans="1:41" x14ac:dyDescent="0.2">
      <c r="A89" s="11"/>
      <c r="B89" s="11"/>
      <c r="C89" s="5"/>
      <c r="D89" s="5"/>
      <c r="E89" s="5"/>
      <c r="F89" s="5"/>
      <c r="G89" s="5"/>
      <c r="H89" s="5"/>
      <c r="I89" s="5"/>
      <c r="J89" s="5"/>
      <c r="K89" s="5"/>
      <c r="L89" s="5"/>
      <c r="M89" s="5"/>
      <c r="N89" s="5"/>
      <c r="O89" s="5"/>
      <c r="P89" s="5"/>
      <c r="Q89" s="5"/>
      <c r="R89" s="5"/>
      <c r="S89" s="67" t="s">
        <v>89</v>
      </c>
      <c r="T89" s="61" t="s">
        <v>64</v>
      </c>
      <c r="U89" s="98" t="s">
        <v>99</v>
      </c>
      <c r="V89" s="98"/>
      <c r="W89" s="98"/>
      <c r="X89" s="98"/>
      <c r="Y89" s="98"/>
      <c r="Z89" s="98"/>
      <c r="AA89" s="98"/>
      <c r="AB89" s="5"/>
      <c r="AC89" s="5"/>
      <c r="AD89" s="5"/>
      <c r="AE89" s="5"/>
      <c r="AF89" s="5"/>
      <c r="AM89" s="23"/>
    </row>
    <row r="90" spans="1:41" x14ac:dyDescent="0.2">
      <c r="A90" s="11"/>
      <c r="B90" s="11"/>
      <c r="C90" s="5"/>
      <c r="D90" s="5"/>
      <c r="E90" s="5"/>
      <c r="F90" s="5"/>
      <c r="G90" s="5"/>
      <c r="H90" s="5"/>
      <c r="I90" s="5"/>
      <c r="J90" s="5"/>
      <c r="K90" s="5"/>
      <c r="L90" s="5"/>
      <c r="M90" s="5"/>
      <c r="N90" s="5"/>
      <c r="O90" s="5"/>
      <c r="P90" s="5"/>
      <c r="Q90" s="5"/>
      <c r="R90" s="5"/>
      <c r="S90" s="67" t="s">
        <v>90</v>
      </c>
      <c r="T90" s="61" t="s">
        <v>64</v>
      </c>
      <c r="U90" s="69">
        <v>27887541</v>
      </c>
      <c r="V90" s="69"/>
      <c r="W90" s="69"/>
      <c r="X90" s="69"/>
      <c r="Y90" s="69"/>
      <c r="Z90" s="69"/>
      <c r="AA90" s="69"/>
      <c r="AB90" s="5"/>
      <c r="AC90" s="5"/>
      <c r="AD90" s="5"/>
      <c r="AE90" s="5"/>
      <c r="AF90" s="5"/>
      <c r="AM90" s="23"/>
    </row>
    <row r="91" spans="1:41" x14ac:dyDescent="0.2">
      <c r="A91" s="11"/>
      <c r="B91" s="11"/>
      <c r="C91" s="5"/>
      <c r="D91" s="5"/>
      <c r="E91" s="5"/>
      <c r="F91" s="5"/>
      <c r="G91" s="5"/>
      <c r="H91" s="5"/>
      <c r="I91" s="5"/>
      <c r="J91" s="5"/>
      <c r="K91" s="5"/>
      <c r="L91" s="5"/>
      <c r="M91" s="5"/>
      <c r="N91" s="5"/>
      <c r="O91" s="5"/>
      <c r="P91" s="5"/>
      <c r="Q91" s="5"/>
      <c r="R91" s="5"/>
      <c r="S91" s="67" t="s">
        <v>95</v>
      </c>
      <c r="T91" s="61"/>
      <c r="U91" s="69" t="s">
        <v>100</v>
      </c>
      <c r="V91" s="69"/>
      <c r="W91" s="69"/>
      <c r="X91" s="69"/>
      <c r="Y91" s="69"/>
      <c r="Z91" s="69"/>
      <c r="AA91" s="69"/>
      <c r="AB91" s="5"/>
      <c r="AC91" s="5"/>
      <c r="AD91" s="5"/>
      <c r="AE91" s="5"/>
      <c r="AF91" s="5"/>
      <c r="AM91" s="23"/>
    </row>
    <row r="92" spans="1:41" x14ac:dyDescent="0.2">
      <c r="A92" s="11"/>
      <c r="B92" s="11"/>
      <c r="C92" s="5"/>
      <c r="D92" s="5"/>
      <c r="E92" s="5"/>
      <c r="F92" s="5"/>
      <c r="G92" s="5"/>
      <c r="H92" s="5"/>
      <c r="I92" s="5"/>
      <c r="J92" s="5"/>
      <c r="K92" s="5"/>
      <c r="L92" s="5"/>
      <c r="M92" s="5"/>
      <c r="N92" s="5"/>
      <c r="O92" s="5"/>
      <c r="P92" s="5"/>
      <c r="Q92" s="5"/>
      <c r="R92" s="5"/>
      <c r="S92" s="62"/>
      <c r="T92" s="61"/>
      <c r="U92" s="5"/>
      <c r="V92" s="5"/>
      <c r="W92" s="5"/>
      <c r="X92" s="5"/>
      <c r="Y92" s="5"/>
      <c r="Z92" s="5"/>
      <c r="AA92" s="5"/>
      <c r="AB92" s="5"/>
      <c r="AC92" s="5"/>
      <c r="AD92" s="5"/>
      <c r="AE92" s="5"/>
      <c r="AF92" s="5"/>
      <c r="AM92" s="23"/>
    </row>
    <row r="93" spans="1:41" x14ac:dyDescent="0.2">
      <c r="A93" s="11"/>
      <c r="B93" s="11"/>
      <c r="C93" s="5"/>
      <c r="D93" s="5"/>
      <c r="E93" s="5"/>
      <c r="F93" s="5"/>
      <c r="G93" s="5"/>
      <c r="H93" s="5"/>
      <c r="I93" s="5"/>
      <c r="J93" s="5"/>
      <c r="K93" s="5"/>
      <c r="L93" s="5"/>
      <c r="M93" s="5"/>
      <c r="N93" s="5"/>
      <c r="O93" s="5"/>
      <c r="P93" s="5"/>
      <c r="Q93" s="5"/>
      <c r="R93" s="5"/>
      <c r="S93" s="67" t="s">
        <v>101</v>
      </c>
      <c r="T93" s="61" t="s">
        <v>64</v>
      </c>
      <c r="U93" s="68"/>
      <c r="V93" s="68"/>
      <c r="W93" s="68"/>
      <c r="X93" s="68"/>
      <c r="Y93" s="68"/>
      <c r="Z93" s="68"/>
      <c r="AA93" s="68"/>
      <c r="AB93" s="5"/>
      <c r="AC93" s="5"/>
      <c r="AD93" s="5"/>
      <c r="AE93" s="5"/>
      <c r="AF93" s="5"/>
      <c r="AM93" s="23"/>
    </row>
    <row r="94" spans="1:41" x14ac:dyDescent="0.2">
      <c r="A94" s="11"/>
      <c r="B94" s="11"/>
      <c r="C94" s="5"/>
      <c r="D94" s="5"/>
      <c r="E94" s="5"/>
      <c r="F94" s="5"/>
      <c r="G94" s="5"/>
      <c r="H94" s="5"/>
      <c r="I94" s="5"/>
      <c r="J94" s="5"/>
      <c r="K94" s="5"/>
      <c r="L94" s="5"/>
      <c r="M94" s="5"/>
      <c r="N94" s="5"/>
      <c r="O94" s="5"/>
      <c r="P94" s="5"/>
      <c r="Q94" s="5"/>
      <c r="R94" s="5"/>
      <c r="S94" s="67" t="str">
        <f>S89</f>
        <v>E-mail</v>
      </c>
      <c r="T94" s="61" t="s">
        <v>64</v>
      </c>
      <c r="U94" s="98" t="s">
        <v>99</v>
      </c>
      <c r="V94" s="98"/>
      <c r="W94" s="98"/>
      <c r="X94" s="98"/>
      <c r="Y94" s="98"/>
      <c r="Z94" s="98"/>
      <c r="AA94" s="98"/>
      <c r="AB94" s="5"/>
      <c r="AC94" s="5"/>
      <c r="AD94" s="5"/>
      <c r="AE94" s="5"/>
      <c r="AF94" s="5"/>
      <c r="AM94" s="23"/>
    </row>
    <row r="95" spans="1:41" x14ac:dyDescent="0.2">
      <c r="A95" s="11"/>
      <c r="B95" s="11"/>
      <c r="C95" s="5"/>
      <c r="D95" s="5"/>
      <c r="E95" s="5"/>
      <c r="F95" s="5"/>
      <c r="G95" s="5"/>
      <c r="H95" s="5"/>
      <c r="I95" s="5"/>
      <c r="J95" s="5"/>
      <c r="K95" s="5"/>
      <c r="L95" s="5"/>
      <c r="M95" s="5"/>
      <c r="N95" s="5"/>
      <c r="O95" s="5"/>
      <c r="P95" s="5"/>
      <c r="Q95" s="5"/>
      <c r="R95" s="5"/>
      <c r="S95" s="67" t="str">
        <f>S90</f>
        <v>Telephone</v>
      </c>
      <c r="T95" s="61" t="s">
        <v>64</v>
      </c>
      <c r="U95" s="69">
        <v>27887541</v>
      </c>
      <c r="V95" s="69"/>
      <c r="W95" s="69"/>
      <c r="X95" s="69"/>
      <c r="Y95" s="69"/>
      <c r="Z95" s="69"/>
      <c r="AA95" s="69"/>
      <c r="AB95" s="5"/>
      <c r="AC95" s="5"/>
      <c r="AD95" s="5"/>
      <c r="AE95" s="5"/>
      <c r="AF95" s="5"/>
      <c r="AM95" s="23"/>
    </row>
    <row r="96" spans="1:41" x14ac:dyDescent="0.2">
      <c r="A96" s="11"/>
      <c r="B96" s="11"/>
      <c r="C96" s="5"/>
      <c r="D96" s="5"/>
      <c r="E96" s="5"/>
      <c r="F96" s="5"/>
      <c r="G96" s="5"/>
      <c r="H96" s="5"/>
      <c r="I96" s="5"/>
      <c r="J96" s="5"/>
      <c r="K96" s="5"/>
      <c r="L96" s="5"/>
      <c r="M96" s="5"/>
      <c r="N96" s="5"/>
      <c r="O96" s="5"/>
      <c r="P96" s="5"/>
      <c r="Q96" s="5"/>
      <c r="R96" s="5"/>
      <c r="S96" s="67" t="str">
        <f>S91</f>
        <v>Correspondence Language</v>
      </c>
      <c r="T96" s="61"/>
      <c r="U96" s="69" t="s">
        <v>100</v>
      </c>
      <c r="V96" s="69"/>
      <c r="W96" s="69"/>
      <c r="X96" s="69"/>
      <c r="Y96" s="69"/>
      <c r="Z96" s="69"/>
      <c r="AA96" s="69"/>
      <c r="AB96" s="5"/>
      <c r="AC96" s="5"/>
      <c r="AD96" s="5"/>
      <c r="AE96" s="5"/>
      <c r="AF96" s="5"/>
      <c r="AM96" s="23"/>
    </row>
    <row r="97" spans="1:43" x14ac:dyDescent="0.2">
      <c r="A97" s="11"/>
      <c r="B97" s="11"/>
      <c r="C97" s="5"/>
      <c r="D97" s="5"/>
      <c r="E97" s="5"/>
      <c r="F97" s="5"/>
      <c r="G97" s="5"/>
      <c r="H97" s="5"/>
      <c r="I97" s="5"/>
      <c r="J97" s="5"/>
      <c r="K97" s="5"/>
      <c r="L97" s="5"/>
      <c r="M97" s="5"/>
      <c r="N97" s="5"/>
      <c r="O97" s="5"/>
      <c r="P97" s="5"/>
      <c r="Q97" s="5"/>
      <c r="R97" s="5"/>
      <c r="S97" s="67"/>
      <c r="T97" s="61"/>
      <c r="U97" s="61"/>
      <c r="V97" s="61"/>
      <c r="W97" s="61"/>
      <c r="X97" s="61"/>
      <c r="Y97" s="61"/>
      <c r="Z97" s="61"/>
      <c r="AA97" s="61"/>
      <c r="AB97" s="61"/>
      <c r="AC97" s="5"/>
      <c r="AD97" s="5"/>
      <c r="AE97" s="5"/>
      <c r="AF97" s="5"/>
      <c r="AM97" s="23"/>
    </row>
    <row r="98" spans="1:43" x14ac:dyDescent="0.2">
      <c r="A98" s="11"/>
      <c r="B98" s="11"/>
      <c r="C98" s="5"/>
      <c r="D98" s="5"/>
      <c r="E98" s="5"/>
      <c r="F98" s="5"/>
      <c r="G98" s="5"/>
      <c r="H98" s="5"/>
      <c r="I98" s="5"/>
      <c r="J98" s="5"/>
      <c r="K98" s="5"/>
      <c r="L98" s="5"/>
      <c r="M98" s="5"/>
      <c r="N98" s="5"/>
      <c r="O98" s="5"/>
      <c r="P98" s="5"/>
      <c r="Q98" s="5"/>
      <c r="R98" s="5"/>
      <c r="S98" s="67" t="s">
        <v>102</v>
      </c>
      <c r="T98" s="61" t="s">
        <v>64</v>
      </c>
      <c r="U98" s="68"/>
      <c r="V98" s="68"/>
      <c r="W98" s="68"/>
      <c r="X98" s="68"/>
      <c r="Y98" s="68"/>
      <c r="Z98" s="68"/>
      <c r="AA98" s="68"/>
      <c r="AB98" s="5"/>
      <c r="AC98" s="5"/>
      <c r="AD98" s="5"/>
      <c r="AE98" s="5"/>
      <c r="AF98" s="5"/>
      <c r="AM98" s="23"/>
    </row>
    <row r="99" spans="1:43" x14ac:dyDescent="0.2">
      <c r="A99" s="11"/>
      <c r="B99" s="11"/>
      <c r="C99" s="5"/>
      <c r="D99" s="5"/>
      <c r="E99" s="5"/>
      <c r="F99" s="5"/>
      <c r="G99" s="5"/>
      <c r="H99" s="5"/>
      <c r="I99" s="5"/>
      <c r="J99" s="5"/>
      <c r="K99" s="5"/>
      <c r="L99" s="5"/>
      <c r="M99" s="5"/>
      <c r="N99" s="5"/>
      <c r="O99" s="5"/>
      <c r="P99" s="5"/>
      <c r="Q99" s="5"/>
      <c r="R99" s="5"/>
      <c r="S99" s="67" t="str">
        <f>S94</f>
        <v>E-mail</v>
      </c>
      <c r="T99" s="61" t="s">
        <v>64</v>
      </c>
      <c r="U99" s="98" t="s">
        <v>99</v>
      </c>
      <c r="V99" s="98"/>
      <c r="W99" s="98"/>
      <c r="X99" s="98"/>
      <c r="Y99" s="98"/>
      <c r="Z99" s="98"/>
      <c r="AA99" s="98"/>
      <c r="AB99" s="5"/>
      <c r="AC99" s="5"/>
      <c r="AD99" s="5"/>
      <c r="AE99" s="5"/>
      <c r="AF99" s="5"/>
      <c r="AM99" s="23"/>
    </row>
    <row r="100" spans="1:43" x14ac:dyDescent="0.2">
      <c r="A100" s="11"/>
      <c r="B100" s="11"/>
      <c r="C100" s="5"/>
      <c r="D100" s="5"/>
      <c r="E100" s="5"/>
      <c r="F100" s="5"/>
      <c r="G100" s="5"/>
      <c r="H100" s="5"/>
      <c r="I100" s="5"/>
      <c r="J100" s="5"/>
      <c r="K100" s="5"/>
      <c r="L100" s="5"/>
      <c r="M100" s="5"/>
      <c r="N100" s="5"/>
      <c r="O100" s="5"/>
      <c r="P100" s="5"/>
      <c r="Q100" s="5"/>
      <c r="R100" s="5"/>
      <c r="S100" s="67" t="str">
        <f>S95</f>
        <v>Telephone</v>
      </c>
      <c r="T100" s="61" t="s">
        <v>64</v>
      </c>
      <c r="U100" s="69">
        <v>27887541</v>
      </c>
      <c r="V100" s="69"/>
      <c r="W100" s="69"/>
      <c r="X100" s="69"/>
      <c r="Y100" s="69"/>
      <c r="Z100" s="69"/>
      <c r="AA100" s="69"/>
      <c r="AB100" s="5"/>
      <c r="AC100" s="5"/>
      <c r="AD100" s="5"/>
      <c r="AE100" s="5"/>
      <c r="AF100" s="5"/>
      <c r="AM100" s="23"/>
    </row>
    <row r="101" spans="1:43" x14ac:dyDescent="0.2">
      <c r="A101" s="11"/>
      <c r="B101" s="11"/>
      <c r="C101" s="5"/>
      <c r="D101" s="5"/>
      <c r="E101" s="5"/>
      <c r="F101" s="5"/>
      <c r="G101" s="5"/>
      <c r="H101" s="5"/>
      <c r="I101" s="5"/>
      <c r="J101" s="5"/>
      <c r="K101" s="5"/>
      <c r="L101" s="5"/>
      <c r="M101" s="5"/>
      <c r="N101" s="5"/>
      <c r="O101" s="5"/>
      <c r="P101" s="5"/>
      <c r="Q101" s="5"/>
      <c r="R101" s="5"/>
      <c r="S101" s="67" t="str">
        <f>S96</f>
        <v>Correspondence Language</v>
      </c>
      <c r="T101" s="61"/>
      <c r="U101" s="69" t="s">
        <v>100</v>
      </c>
      <c r="V101" s="69"/>
      <c r="W101" s="69"/>
      <c r="X101" s="69"/>
      <c r="Y101" s="69"/>
      <c r="Z101" s="69"/>
      <c r="AA101" s="69"/>
      <c r="AB101" s="5"/>
      <c r="AC101" s="5"/>
      <c r="AD101" s="5"/>
      <c r="AE101" s="5"/>
      <c r="AF101" s="5"/>
      <c r="AM101" s="23"/>
    </row>
    <row r="102" spans="1:43" x14ac:dyDescent="0.2">
      <c r="A102" s="11"/>
      <c r="B102" s="2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26"/>
    </row>
    <row r="103" spans="1:43" x14ac:dyDescent="0.2">
      <c r="A103" s="11"/>
      <c r="B103" s="5"/>
      <c r="C103" s="5"/>
      <c r="D103" s="5"/>
      <c r="E103" s="5"/>
      <c r="F103" s="5"/>
      <c r="G103" s="5"/>
      <c r="H103" s="5"/>
      <c r="I103" s="5"/>
      <c r="J103" s="5"/>
      <c r="K103" s="5"/>
      <c r="L103" s="5"/>
      <c r="M103" s="5"/>
      <c r="N103" s="5"/>
      <c r="O103" s="5"/>
      <c r="P103" s="5"/>
      <c r="Q103" s="5"/>
      <c r="R103" s="85"/>
      <c r="S103" s="85"/>
      <c r="T103" s="85"/>
      <c r="U103" s="5"/>
      <c r="V103" s="5"/>
      <c r="W103" s="5"/>
      <c r="X103" s="5"/>
      <c r="Y103" s="5"/>
      <c r="Z103" s="5"/>
      <c r="AA103" s="5"/>
      <c r="AB103" s="5"/>
      <c r="AC103" s="5"/>
      <c r="AD103" s="5"/>
      <c r="AE103" s="14"/>
      <c r="AF103" s="14"/>
      <c r="AG103" s="14"/>
      <c r="AH103" s="14"/>
      <c r="AI103" s="14"/>
      <c r="AJ103" s="14"/>
      <c r="AK103" s="14"/>
      <c r="AL103" s="14"/>
      <c r="AM103" s="15"/>
    </row>
    <row r="104" spans="1:43" x14ac:dyDescent="0.2">
      <c r="A104" s="11"/>
      <c r="B104" s="16"/>
      <c r="C104" s="92" t="str">
        <f>IF(D40&lt;&gt;"","No need to fill this in for DCA","")</f>
        <v/>
      </c>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5"/>
      <c r="AF104" s="5"/>
      <c r="AM104" s="19"/>
    </row>
    <row r="105" spans="1:43" x14ac:dyDescent="0.2">
      <c r="A105" s="11"/>
      <c r="B105" s="11"/>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M105" s="23"/>
    </row>
    <row r="106" spans="1:43" x14ac:dyDescent="0.2">
      <c r="A106" s="11"/>
      <c r="B106" s="11"/>
      <c r="C106" s="21" t="s">
        <v>103</v>
      </c>
      <c r="D106" s="21"/>
      <c r="E106" s="21"/>
      <c r="F106" s="21"/>
      <c r="G106" s="5"/>
      <c r="H106" s="5"/>
      <c r="I106" s="5"/>
      <c r="J106" s="99" t="s">
        <v>104</v>
      </c>
      <c r="K106" s="99"/>
      <c r="L106" s="99"/>
      <c r="M106" s="99"/>
      <c r="N106" s="99"/>
      <c r="O106" s="99"/>
      <c r="P106" s="99"/>
      <c r="Q106" s="99"/>
      <c r="R106" s="99"/>
      <c r="S106" s="99"/>
      <c r="T106" s="99"/>
      <c r="U106" s="99"/>
      <c r="V106" s="99"/>
      <c r="W106" s="5"/>
      <c r="X106" s="37" t="str">
        <f>IF(back!C4=5, "Please select the NNI Partner in the next field",IF(back!C4=6,"please select if Colt has to provide the SIM in the next field",IF(AND(back!F23=0,back!C4=7),"only possible in Fr and CH","")))</f>
        <v/>
      </c>
      <c r="Y106" s="5"/>
      <c r="Z106" s="5"/>
      <c r="AA106" s="5"/>
      <c r="AB106" s="5"/>
      <c r="AC106" s="5"/>
      <c r="AD106" s="5"/>
      <c r="AE106" s="5"/>
      <c r="AF106" s="5"/>
      <c r="AM106" s="23"/>
      <c r="AO106" s="3" t="str">
        <f>back!B4</f>
        <v>Fibre</v>
      </c>
      <c r="AP106" s="3" t="str">
        <f>back!B30</f>
        <v>64K</v>
      </c>
      <c r="AQ106" s="3" t="str">
        <f>IF(back!$C$4=5,back!Q11,IF(back!$C$4=6,back!Y11,""))</f>
        <v/>
      </c>
    </row>
    <row r="107" spans="1:43" x14ac:dyDescent="0.2">
      <c r="A107" s="11"/>
      <c r="B107" s="11"/>
      <c r="C107" s="21"/>
      <c r="D107" s="21"/>
      <c r="E107" s="21"/>
      <c r="F107" s="21"/>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M107" s="23"/>
      <c r="AO107" s="3" t="str">
        <f>back!B5</f>
        <v>3rd Party Leased Line</v>
      </c>
      <c r="AP107" s="3" t="str">
        <f>back!B31</f>
        <v>128K</v>
      </c>
      <c r="AQ107" s="3" t="str">
        <f>IF(back!$C$4=5,back!Q12,IF(back!$C$4=6,back!Y12,""))</f>
        <v/>
      </c>
    </row>
    <row r="108" spans="1:43" x14ac:dyDescent="0.2">
      <c r="A108" s="11"/>
      <c r="B108" s="11"/>
      <c r="C108" s="21" t="str">
        <f>IF(back!C4=5,"which NNI Partner",IF(back!C4=6,"Incl. or excl. SIM?","NA"))</f>
        <v>NA</v>
      </c>
      <c r="D108" s="21"/>
      <c r="E108" s="21"/>
      <c r="F108" s="21"/>
      <c r="G108" s="5"/>
      <c r="H108" s="5"/>
      <c r="I108" s="5"/>
      <c r="J108" s="43"/>
      <c r="K108" s="43"/>
      <c r="L108" s="43"/>
      <c r="M108" s="43"/>
      <c r="N108" s="43"/>
      <c r="O108" s="43"/>
      <c r="P108" s="43"/>
      <c r="Q108" s="43"/>
      <c r="R108" s="43"/>
      <c r="S108" s="43"/>
      <c r="T108" s="43"/>
      <c r="U108" s="43"/>
      <c r="V108" s="43"/>
      <c r="W108" s="5"/>
      <c r="X108" s="37" t="str">
        <f>IF(back!AA10=2,"please fill in the SIM details in the appropriate field below","")</f>
        <v/>
      </c>
      <c r="Y108" s="5"/>
      <c r="Z108" s="5"/>
      <c r="AA108" s="5"/>
      <c r="AB108" s="5"/>
      <c r="AC108" s="5"/>
      <c r="AD108" s="5"/>
      <c r="AE108" s="5"/>
      <c r="AF108" s="5"/>
      <c r="AM108" s="23"/>
      <c r="AO108" s="3" t="str">
        <f>back!B6</f>
        <v>ULL DSL</v>
      </c>
      <c r="AP108" s="3" t="str">
        <f>back!B32</f>
        <v>256K</v>
      </c>
      <c r="AQ108" s="3" t="str">
        <f>IF(back!$C$4=5,back!Q13,IF(back!$C$4=6,back!Y13,""))</f>
        <v/>
      </c>
    </row>
    <row r="109" spans="1:43" x14ac:dyDescent="0.2">
      <c r="A109" s="11"/>
      <c r="B109" s="11"/>
      <c r="C109" s="21"/>
      <c r="D109" s="21"/>
      <c r="E109" s="21"/>
      <c r="F109" s="21"/>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M109" s="23"/>
      <c r="AO109" s="3" t="str">
        <f>back!B7</f>
        <v>Fibre ULL</v>
      </c>
      <c r="AP109" s="3" t="str">
        <f>back!B33</f>
        <v>512K</v>
      </c>
      <c r="AQ109" s="3" t="str">
        <f>IF(back!$C$4=5,back!Q14,IF(back!$C$4=6,back!Y14,""))</f>
        <v/>
      </c>
    </row>
    <row r="110" spans="1:43" x14ac:dyDescent="0.2">
      <c r="A110" s="11"/>
      <c r="B110" s="11"/>
      <c r="C110" s="21" t="s">
        <v>105</v>
      </c>
      <c r="D110" s="21"/>
      <c r="E110" s="21"/>
      <c r="F110" s="21"/>
      <c r="G110" s="5"/>
      <c r="H110" s="5"/>
      <c r="I110" s="5"/>
      <c r="J110" s="99" t="s">
        <v>106</v>
      </c>
      <c r="K110" s="99"/>
      <c r="L110" s="99"/>
      <c r="M110" s="99"/>
      <c r="N110" s="99"/>
      <c r="O110" s="99"/>
      <c r="P110" s="99"/>
      <c r="Q110" s="99"/>
      <c r="R110" s="99"/>
      <c r="S110" s="99"/>
      <c r="T110" s="99"/>
      <c r="U110" s="99"/>
      <c r="V110" s="99"/>
      <c r="W110" s="37"/>
      <c r="X110" s="5"/>
      <c r="Y110" s="5"/>
      <c r="Z110" s="5"/>
      <c r="AA110" s="5"/>
      <c r="AB110" s="5"/>
      <c r="AC110" s="5"/>
      <c r="AD110" s="5"/>
      <c r="AE110" s="5"/>
      <c r="AF110" s="5"/>
      <c r="AM110" s="23"/>
      <c r="AO110" s="3" t="str">
        <f>back!B8</f>
        <v>wDSL</v>
      </c>
      <c r="AP110" s="3" t="str">
        <f>back!B34</f>
        <v>1M</v>
      </c>
      <c r="AQ110" s="3" t="str">
        <f>IF(back!$C$4=5,back!Q15,IF(back!$C$4=6,back!Y15,""))</f>
        <v/>
      </c>
    </row>
    <row r="111" spans="1:43" x14ac:dyDescent="0.2">
      <c r="A111" s="11"/>
      <c r="B111" s="2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26"/>
      <c r="AO111" s="3" t="str">
        <f>back!B9</f>
        <v>3rd party packet service - MPLS NNI</v>
      </c>
      <c r="AP111" s="3" t="str">
        <f>back!B35</f>
        <v>1.5M</v>
      </c>
      <c r="AQ111" s="3" t="str">
        <f>IF(back!$C$4=5,back!Q16,IF(back!$C$4=6,back!Y16,""))</f>
        <v/>
      </c>
    </row>
    <row r="112" spans="1:43" x14ac:dyDescent="0.2">
      <c r="A112" s="11"/>
      <c r="B112" s="100"/>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M112" s="13"/>
      <c r="AO112" s="3" t="str">
        <f>back!B10</f>
        <v>Wireless access</v>
      </c>
      <c r="AP112" s="3" t="str">
        <f>back!B36</f>
        <v>2M</v>
      </c>
      <c r="AQ112" s="3" t="str">
        <f>IF(back!$C$4=5,back!Q17,IF(back!$C$4=6,back!U38,""))</f>
        <v/>
      </c>
    </row>
    <row r="113" spans="1:43" x14ac:dyDescent="0.2">
      <c r="A113" s="11"/>
      <c r="B113" s="101" t="str">
        <f>IF(OR(back!C4=1,back!C4=2,back!C4=5,back!C4=6),"Please fill in the box below - Fibre, Leased Line &amp; MPLS NNI only","Please fill in the box to the right =&gt; =&gt; =&gt;")</f>
        <v>Please fill in the box below - Fibre, Leased Line &amp; MPLS NNI only</v>
      </c>
      <c r="C113" s="5"/>
      <c r="D113" s="5"/>
      <c r="E113" s="5"/>
      <c r="F113" s="5"/>
      <c r="G113" s="5"/>
      <c r="H113" s="5"/>
      <c r="I113" s="5"/>
      <c r="J113" s="5"/>
      <c r="K113" s="5"/>
      <c r="L113" s="5"/>
      <c r="M113" s="5"/>
      <c r="N113" s="5"/>
      <c r="O113" s="5"/>
      <c r="Q113" s="5"/>
      <c r="S113" s="5"/>
      <c r="T113" s="102" t="str">
        <f>IF(OR(back!C4=3,back!C4=4,back!S13=1),"Please provide details for DSL services - ULL &amp; wDSL","&lt;= &lt;= &lt;= Please fill in the box to the left")</f>
        <v>&lt;= &lt;= &lt;= Please fill in the box to the left</v>
      </c>
      <c r="U113" s="5"/>
      <c r="W113" s="5"/>
      <c r="X113" s="5"/>
      <c r="Y113" s="5"/>
      <c r="Z113" s="5"/>
      <c r="AA113" s="5"/>
      <c r="AB113" s="5"/>
      <c r="AC113" s="5"/>
      <c r="AD113" s="5"/>
      <c r="AE113" s="14"/>
      <c r="AF113" s="14"/>
      <c r="AG113" s="14"/>
      <c r="AH113" s="14"/>
      <c r="AI113" s="14"/>
      <c r="AJ113" s="14"/>
      <c r="AK113" s="14"/>
      <c r="AL113" s="14"/>
      <c r="AM113" s="15"/>
      <c r="AP113" s="3" t="str">
        <f>back!B37</f>
        <v>3M</v>
      </c>
      <c r="AQ113" s="3" t="str">
        <f>IF(back!$C$4=5,back!Q18,IF(back!$C$4=6,back!U40,""))</f>
        <v/>
      </c>
    </row>
    <row r="114" spans="1:43" x14ac:dyDescent="0.2">
      <c r="A114" s="11"/>
      <c r="B114" s="16"/>
      <c r="C114" s="103" t="str">
        <f>IF(OR(back!C4=1,back!C4=2,back!C4=5,back!C4=6),"Access Circuit - for Fibre, Leased Line, MPLS NNI only","For DSL services the box below is not relevant")</f>
        <v>Access Circuit - for Fibre, Leased Line, MPLS NNI only</v>
      </c>
      <c r="D114" s="17"/>
      <c r="E114" s="17"/>
      <c r="F114" s="17"/>
      <c r="G114" s="17"/>
      <c r="H114" s="17"/>
      <c r="I114" s="17"/>
      <c r="J114" s="17"/>
      <c r="K114" s="17"/>
      <c r="L114" s="17"/>
      <c r="M114" s="17"/>
      <c r="N114" s="17"/>
      <c r="O114" s="17"/>
      <c r="P114" s="17"/>
      <c r="Q114" s="17"/>
      <c r="R114" s="56"/>
      <c r="S114" s="5"/>
      <c r="T114" s="16"/>
      <c r="U114" s="103" t="str">
        <f>IF(OR(back!C4=3,back!C4=4,back!S13=1),"ULL &amp; wDSL","")</f>
        <v/>
      </c>
      <c r="V114" s="17"/>
      <c r="W114" s="17"/>
      <c r="X114" s="17"/>
      <c r="Y114" s="17"/>
      <c r="Z114" s="17"/>
      <c r="AA114" s="17"/>
      <c r="AB114" s="17"/>
      <c r="AC114" s="17"/>
      <c r="AD114" s="17"/>
      <c r="AE114" s="5"/>
      <c r="AF114" s="5"/>
      <c r="AL114" s="17"/>
      <c r="AM114" s="19"/>
      <c r="AP114" s="3" t="str">
        <f>back!B38</f>
        <v>4M</v>
      </c>
      <c r="AQ114" s="3" t="str">
        <f>IF(back!$C$4=5,back!Q19,IF(back!$C$4=6,back!U41,""))</f>
        <v/>
      </c>
    </row>
    <row r="115" spans="1:43" x14ac:dyDescent="0.2">
      <c r="A115" s="11"/>
      <c r="B115" s="11"/>
      <c r="C115" s="104" t="str">
        <f>IF(back!S13=1,"when GTS (x)DSL is used, please fill in the details in the box ULL &amp; WDSL"," ")</f>
        <v xml:space="preserve"> </v>
      </c>
      <c r="D115" s="64"/>
      <c r="E115" s="64"/>
      <c r="F115" s="64"/>
      <c r="G115" s="64"/>
      <c r="H115" s="64"/>
      <c r="I115" s="64"/>
      <c r="J115" s="64"/>
      <c r="K115" s="64"/>
      <c r="L115" s="5"/>
      <c r="M115" s="5"/>
      <c r="N115" s="5"/>
      <c r="O115" s="5"/>
      <c r="P115" s="5"/>
      <c r="Q115" s="5"/>
      <c r="R115" s="59"/>
      <c r="S115" s="5"/>
      <c r="T115" s="11"/>
      <c r="U115" s="5"/>
      <c r="V115" s="5"/>
      <c r="W115" s="5"/>
      <c r="X115" s="5"/>
      <c r="Y115" s="5"/>
      <c r="Z115" s="5"/>
      <c r="AA115" s="5"/>
      <c r="AB115" s="5"/>
      <c r="AC115" s="5"/>
      <c r="AD115" s="5"/>
      <c r="AE115" s="5"/>
      <c r="AF115" s="5"/>
      <c r="AL115" s="5"/>
      <c r="AM115" s="23"/>
      <c r="AP115" s="3" t="str">
        <f>back!B39</f>
        <v>5M</v>
      </c>
      <c r="AQ115" s="3" t="str">
        <f>IF(back!$C$4=5,back!Q20,IF(back!$C$4=6,back!U42,""))</f>
        <v/>
      </c>
    </row>
    <row r="116" spans="1:43" x14ac:dyDescent="0.2">
      <c r="A116" s="11"/>
      <c r="B116" s="11"/>
      <c r="C116" s="5"/>
      <c r="D116" s="21"/>
      <c r="E116" s="21"/>
      <c r="F116" s="21"/>
      <c r="G116" s="21"/>
      <c r="H116" s="21"/>
      <c r="I116" s="21"/>
      <c r="J116" s="21"/>
      <c r="K116" s="21"/>
      <c r="L116" s="21"/>
      <c r="M116" s="21"/>
      <c r="N116" s="21"/>
      <c r="O116" s="21"/>
      <c r="P116" s="21"/>
      <c r="Q116" s="5"/>
      <c r="R116" s="105"/>
      <c r="S116" s="5"/>
      <c r="T116" s="106"/>
      <c r="U116" s="21"/>
      <c r="V116" s="5"/>
      <c r="W116" s="5"/>
      <c r="X116" s="5"/>
      <c r="Y116" s="5"/>
      <c r="Z116" s="5"/>
      <c r="AA116" s="5"/>
      <c r="AB116" s="5"/>
      <c r="AC116" s="5"/>
      <c r="AD116" s="5"/>
      <c r="AE116" s="5"/>
      <c r="AF116" s="5"/>
      <c r="AL116" s="5"/>
      <c r="AM116" s="23"/>
      <c r="AP116" s="3" t="str">
        <f>back!B40</f>
        <v>6M</v>
      </c>
      <c r="AQ116" s="3" t="str">
        <f>IF(back!$C$4=5,back!Q21,IF(back!$C$4=6,back!Y21,""))</f>
        <v/>
      </c>
    </row>
    <row r="117" spans="1:43" x14ac:dyDescent="0.2">
      <c r="A117" s="11"/>
      <c r="B117" s="11"/>
      <c r="C117" s="5" t="s">
        <v>107</v>
      </c>
      <c r="D117" s="5"/>
      <c r="E117" s="5"/>
      <c r="F117" s="27" t="s">
        <v>9</v>
      </c>
      <c r="G117" s="5" t="s">
        <v>108</v>
      </c>
      <c r="H117" s="5"/>
      <c r="I117" s="5"/>
      <c r="J117" s="5"/>
      <c r="K117" s="5"/>
      <c r="N117" s="5"/>
      <c r="O117" s="5"/>
      <c r="P117" s="5"/>
      <c r="Q117" s="5"/>
      <c r="R117" s="59"/>
      <c r="S117" s="5"/>
      <c r="T117" s="11"/>
      <c r="U117" s="5" t="str">
        <f>IF(OR(back!C4=3,back!C4=4,back!S13=1),"PCN number"," ")</f>
        <v xml:space="preserve"> </v>
      </c>
      <c r="V117" s="67"/>
      <c r="W117" s="5"/>
      <c r="X117" s="5"/>
      <c r="Y117" s="5"/>
      <c r="Z117" s="5"/>
      <c r="AA117" s="5"/>
      <c r="AB117" s="5"/>
      <c r="AC117" s="5"/>
      <c r="AD117" s="70"/>
      <c r="AE117" s="70"/>
      <c r="AF117" s="70"/>
      <c r="AG117" s="70"/>
      <c r="AL117" s="5"/>
      <c r="AM117" s="23"/>
      <c r="AP117" s="3" t="str">
        <f>back!B41</f>
        <v>7M</v>
      </c>
      <c r="AQ117" s="3" t="str">
        <f>IF(back!$C$4=5,back!Q22,IF(back!$C$4=6,back!Y22,""))</f>
        <v/>
      </c>
    </row>
    <row r="118" spans="1:43" x14ac:dyDescent="0.2">
      <c r="A118" s="11"/>
      <c r="B118" s="11"/>
      <c r="C118" s="5"/>
      <c r="D118" s="5"/>
      <c r="E118" s="5"/>
      <c r="H118" s="27" t="s">
        <v>9</v>
      </c>
      <c r="I118" s="107" t="str">
        <f>IF(back!$C$4=1,"Standard: Ethernet over MSP","no choice to be made")</f>
        <v>Standard: Ethernet over MSP</v>
      </c>
      <c r="K118" s="5"/>
      <c r="N118" s="5"/>
      <c r="O118" s="5"/>
      <c r="P118" s="5"/>
      <c r="Q118" s="5"/>
      <c r="R118" s="59"/>
      <c r="S118" s="5"/>
      <c r="T118" s="11"/>
      <c r="U118" s="5" t="str">
        <f>IF(OR(back!C4=3,back!C4=4,back!S13=1),"Phone number to check availability *"," ")</f>
        <v xml:space="preserve"> </v>
      </c>
      <c r="V118" s="67"/>
      <c r="W118" s="5"/>
      <c r="X118" s="5"/>
      <c r="Y118" s="5"/>
      <c r="Z118" s="5"/>
      <c r="AA118" s="5"/>
      <c r="AB118" s="5"/>
      <c r="AC118" s="5"/>
      <c r="AD118" s="76"/>
      <c r="AE118" s="76"/>
      <c r="AF118" s="76"/>
      <c r="AG118" s="76"/>
      <c r="AL118" s="5"/>
      <c r="AM118" s="23"/>
      <c r="AP118" s="3" t="str">
        <f>back!B42</f>
        <v>8M</v>
      </c>
      <c r="AQ118" s="3" t="str">
        <f>IF(back!$C$4=5,back!Q23,IF(back!$C$4=6,back!Y23,""))</f>
        <v/>
      </c>
    </row>
    <row r="119" spans="1:43" x14ac:dyDescent="0.2">
      <c r="A119" s="11"/>
      <c r="B119" s="11"/>
      <c r="C119" s="5"/>
      <c r="D119" s="5"/>
      <c r="E119" s="5"/>
      <c r="K119" s="5"/>
      <c r="N119" s="5"/>
      <c r="O119" s="5"/>
      <c r="P119" s="5"/>
      <c r="Q119" s="5"/>
      <c r="R119" s="59"/>
      <c r="S119" s="5"/>
      <c r="T119" s="11"/>
      <c r="U119" s="5" t="str">
        <f>IF(OR(back!C4=4,back!S13=1),"Name of wDSL Provider *"," ")</f>
        <v xml:space="preserve"> </v>
      </c>
      <c r="V119" s="5"/>
      <c r="W119" s="5"/>
      <c r="X119" s="5"/>
      <c r="Y119" s="5"/>
      <c r="Z119" s="5"/>
      <c r="AA119" s="5"/>
      <c r="AB119" s="5"/>
      <c r="AC119" s="5"/>
      <c r="AD119" s="76"/>
      <c r="AE119" s="76"/>
      <c r="AF119" s="76"/>
      <c r="AG119" s="76"/>
      <c r="AL119" s="5"/>
      <c r="AM119" s="23"/>
      <c r="AP119" s="3" t="str">
        <f>back!B43</f>
        <v>9M</v>
      </c>
    </row>
    <row r="120" spans="1:43" x14ac:dyDescent="0.2">
      <c r="A120" s="11"/>
      <c r="B120" s="11"/>
      <c r="C120" s="5"/>
      <c r="D120" s="5"/>
      <c r="E120" s="5"/>
      <c r="H120" s="27"/>
      <c r="I120" s="108" t="str">
        <f>IF(back!$C$4=1,"Non standard: Ethernet over SDH","no choice to be made")</f>
        <v>Non standard: Ethernet over SDH</v>
      </c>
      <c r="K120" s="5"/>
      <c r="N120" s="5"/>
      <c r="O120" s="5"/>
      <c r="P120" s="5"/>
      <c r="Q120" s="5"/>
      <c r="R120" s="59"/>
      <c r="S120" s="5"/>
      <c r="T120" s="11"/>
      <c r="U120" s="5" t="str">
        <f>IF(back!C4=3,"EFM Enhanced Bandwidth Availability? *"," ")</f>
        <v xml:space="preserve"> </v>
      </c>
      <c r="V120" s="5"/>
      <c r="W120" s="5"/>
      <c r="X120" s="5"/>
      <c r="AD120" s="76"/>
      <c r="AE120" s="76"/>
      <c r="AF120" s="76"/>
      <c r="AG120" s="76"/>
      <c r="AL120" s="5"/>
      <c r="AM120" s="23"/>
      <c r="AP120" s="3" t="str">
        <f>back!B44</f>
        <v>10M</v>
      </c>
    </row>
    <row r="121" spans="1:43" x14ac:dyDescent="0.2">
      <c r="A121" s="11"/>
      <c r="B121" s="11"/>
      <c r="C121" s="5"/>
      <c r="D121" s="5"/>
      <c r="E121" s="5"/>
      <c r="I121" s="108" t="str">
        <f>IF(back!$C$4=1,"(provide justification in comment field)","")</f>
        <v>(provide justification in comment field)</v>
      </c>
      <c r="K121" s="5"/>
      <c r="N121" s="5"/>
      <c r="O121" s="5"/>
      <c r="P121" s="5"/>
      <c r="Q121" s="5"/>
      <c r="R121" s="59"/>
      <c r="S121" s="5"/>
      <c r="T121" s="11"/>
      <c r="U121" s="5" t="str">
        <f>IF(back!B153=0," ",back!B153)</f>
        <v xml:space="preserve"> </v>
      </c>
      <c r="V121" s="5"/>
      <c r="W121" s="5"/>
      <c r="X121" s="5"/>
      <c r="Y121" s="5"/>
      <c r="Z121" s="5"/>
      <c r="AA121" s="5"/>
      <c r="AB121" s="5"/>
      <c r="AC121" s="5"/>
      <c r="AD121" s="76"/>
      <c r="AE121" s="76"/>
      <c r="AF121" s="76"/>
      <c r="AG121" s="76"/>
      <c r="AL121" s="5"/>
      <c r="AM121" s="23"/>
      <c r="AP121" s="3" t="str">
        <f>back!B45</f>
        <v>11M</v>
      </c>
    </row>
    <row r="122" spans="1:43" x14ac:dyDescent="0.2">
      <c r="A122" s="11"/>
      <c r="B122" s="11"/>
      <c r="C122" s="5"/>
      <c r="D122" s="5"/>
      <c r="E122" s="5"/>
      <c r="H122" s="109"/>
      <c r="I122" s="108" t="str">
        <f>IF(back!$C$4=1,"Above 400M - Ethernet over Fibre (1G bearer)","no choice to be made")</f>
        <v>Above 400M - Ethernet over Fibre (1G bearer)</v>
      </c>
      <c r="K122" s="5"/>
      <c r="N122" s="5"/>
      <c r="O122" s="5"/>
      <c r="P122" s="5"/>
      <c r="Q122" s="5"/>
      <c r="R122" s="59"/>
      <c r="S122" s="5"/>
      <c r="T122" s="11"/>
      <c r="U122" s="5" t="str">
        <f>IF(back!B154=0," ",back!B154)</f>
        <v xml:space="preserve"> </v>
      </c>
      <c r="V122" s="5"/>
      <c r="W122" s="5"/>
      <c r="X122" s="5"/>
      <c r="Y122" s="5"/>
      <c r="Z122" s="5"/>
      <c r="AA122" s="5"/>
      <c r="AB122" s="5"/>
      <c r="AC122" s="5"/>
      <c r="AD122" s="76"/>
      <c r="AE122" s="76"/>
      <c r="AF122" s="76"/>
      <c r="AG122" s="76"/>
      <c r="AL122" s="5"/>
      <c r="AM122" s="23"/>
      <c r="AP122" s="3" t="str">
        <f>back!B46</f>
        <v>12M</v>
      </c>
    </row>
    <row r="123" spans="1:43" x14ac:dyDescent="0.2">
      <c r="A123" s="11"/>
      <c r="B123" s="11"/>
      <c r="C123" s="5"/>
      <c r="D123" s="5"/>
      <c r="E123" s="5"/>
      <c r="K123" s="5"/>
      <c r="N123" s="5"/>
      <c r="O123" s="5"/>
      <c r="P123" s="5"/>
      <c r="Q123" s="5"/>
      <c r="R123" s="59"/>
      <c r="S123" s="5"/>
      <c r="T123" s="11"/>
      <c r="U123" s="5" t="str">
        <f>IF(back!B155=0," ",back!B155)</f>
        <v xml:space="preserve"> </v>
      </c>
      <c r="V123" s="5"/>
      <c r="W123" s="5"/>
      <c r="X123" s="5"/>
      <c r="Y123" s="5"/>
      <c r="Z123" s="5"/>
      <c r="AA123" s="5"/>
      <c r="AB123" s="5"/>
      <c r="AC123" s="5"/>
      <c r="AD123" s="76"/>
      <c r="AE123" s="76"/>
      <c r="AF123" s="76"/>
      <c r="AG123" s="76"/>
      <c r="AL123" s="5"/>
      <c r="AM123" s="23"/>
      <c r="AP123" s="3" t="str">
        <f>back!B47</f>
        <v>13M</v>
      </c>
    </row>
    <row r="124" spans="1:43" x14ac:dyDescent="0.2">
      <c r="A124" s="11"/>
      <c r="B124" s="11"/>
      <c r="C124" s="5"/>
      <c r="D124" s="5"/>
      <c r="E124" s="5"/>
      <c r="F124" s="27"/>
      <c r="G124" s="5" t="s">
        <v>109</v>
      </c>
      <c r="H124" s="5"/>
      <c r="I124" s="5"/>
      <c r="J124" s="5"/>
      <c r="K124" s="5"/>
      <c r="N124" s="5"/>
      <c r="O124" s="5"/>
      <c r="P124" s="5"/>
      <c r="Q124" s="5"/>
      <c r="R124" s="59"/>
      <c r="S124" s="5"/>
      <c r="T124" s="11"/>
      <c r="U124" s="5" t="str">
        <f>IF(back!B156=0," ",back!B156)</f>
        <v xml:space="preserve"> </v>
      </c>
      <c r="V124" s="5"/>
      <c r="W124" s="5"/>
      <c r="X124" s="5"/>
      <c r="Y124" s="5"/>
      <c r="Z124" s="5"/>
      <c r="AA124" s="5"/>
      <c r="AB124" s="5"/>
      <c r="AC124" s="5"/>
      <c r="AD124" s="76"/>
      <c r="AE124" s="76"/>
      <c r="AF124" s="76"/>
      <c r="AG124" s="76"/>
      <c r="AL124" s="5"/>
      <c r="AM124" s="23"/>
      <c r="AP124" s="3" t="str">
        <f>back!B48</f>
        <v>14M</v>
      </c>
    </row>
    <row r="125" spans="1:43" x14ac:dyDescent="0.2">
      <c r="A125" s="11"/>
      <c r="B125" s="11"/>
      <c r="C125" s="5"/>
      <c r="D125" s="5"/>
      <c r="E125" s="5"/>
      <c r="F125" s="5"/>
      <c r="G125" s="29" t="s">
        <v>15</v>
      </c>
      <c r="H125" s="5" t="s">
        <v>110</v>
      </c>
      <c r="I125" s="5"/>
      <c r="J125" s="5"/>
      <c r="K125" s="5"/>
      <c r="N125" s="5"/>
      <c r="O125" s="5"/>
      <c r="P125" s="5"/>
      <c r="Q125" s="5"/>
      <c r="R125" s="59"/>
      <c r="S125" s="5"/>
      <c r="T125" s="11"/>
      <c r="U125" s="5" t="str">
        <f>IF(back!B157=0," ",back!B157)</f>
        <v xml:space="preserve"> </v>
      </c>
      <c r="V125" s="5"/>
      <c r="W125" s="5"/>
      <c r="X125" s="5"/>
      <c r="Y125" s="5"/>
      <c r="Z125" s="5"/>
      <c r="AA125" s="5"/>
      <c r="AB125" s="5"/>
      <c r="AC125" s="5"/>
      <c r="AD125" s="76"/>
      <c r="AE125" s="76"/>
      <c r="AF125" s="76"/>
      <c r="AG125" s="76"/>
      <c r="AL125" s="5"/>
      <c r="AM125" s="23"/>
      <c r="AP125" s="3" t="str">
        <f>back!B49</f>
        <v>15M</v>
      </c>
    </row>
    <row r="126" spans="1:43" x14ac:dyDescent="0.2">
      <c r="A126" s="11"/>
      <c r="B126" s="11"/>
      <c r="C126" s="5"/>
      <c r="D126" s="5"/>
      <c r="E126" s="5"/>
      <c r="F126" s="5"/>
      <c r="G126" s="5"/>
      <c r="H126" s="27"/>
      <c r="I126" s="5" t="s">
        <v>111</v>
      </c>
      <c r="J126" s="5"/>
      <c r="K126" s="5"/>
      <c r="L126" s="27"/>
      <c r="M126" s="5" t="s">
        <v>112</v>
      </c>
      <c r="N126" s="5"/>
      <c r="O126" s="5"/>
      <c r="P126" s="5"/>
      <c r="Q126" s="5"/>
      <c r="R126" s="59"/>
      <c r="S126" s="5"/>
      <c r="T126" s="11"/>
      <c r="U126" s="5" t="str">
        <f>IF(back!B158=0," ",back!B158)</f>
        <v xml:space="preserve"> </v>
      </c>
      <c r="V126" s="5"/>
      <c r="W126" s="5"/>
      <c r="X126" s="5"/>
      <c r="Y126" s="5"/>
      <c r="Z126" s="5"/>
      <c r="AA126" s="5"/>
      <c r="AB126" s="5"/>
      <c r="AC126" s="5"/>
      <c r="AD126" s="76"/>
      <c r="AE126" s="76"/>
      <c r="AF126" s="76"/>
      <c r="AG126" s="76"/>
      <c r="AL126" s="5"/>
      <c r="AM126" s="23"/>
      <c r="AP126" s="3" t="str">
        <f>back!B50</f>
        <v>16M</v>
      </c>
    </row>
    <row r="127" spans="1:43" x14ac:dyDescent="0.2">
      <c r="A127" s="11"/>
      <c r="B127" s="11"/>
      <c r="C127" s="5"/>
      <c r="D127" s="5"/>
      <c r="E127" s="5"/>
      <c r="F127" s="5"/>
      <c r="G127" s="5"/>
      <c r="H127" s="28"/>
      <c r="I127" s="5" t="s">
        <v>113</v>
      </c>
      <c r="J127" s="5"/>
      <c r="K127" s="5"/>
      <c r="L127" s="28"/>
      <c r="M127" s="5" t="s">
        <v>114</v>
      </c>
      <c r="N127" s="5"/>
      <c r="O127" s="5"/>
      <c r="P127" s="5"/>
      <c r="Q127" s="5"/>
      <c r="R127" s="59"/>
      <c r="S127" s="5"/>
      <c r="T127" s="11"/>
      <c r="U127" s="5" t="str">
        <f>IF(back!B159=0," ",back!B159)</f>
        <v xml:space="preserve"> </v>
      </c>
      <c r="V127" s="5"/>
      <c r="W127" s="5"/>
      <c r="X127" s="5"/>
      <c r="Y127" s="5"/>
      <c r="Z127" s="5"/>
      <c r="AA127" s="5"/>
      <c r="AB127" s="5"/>
      <c r="AC127" s="5"/>
      <c r="AD127" s="76"/>
      <c r="AE127" s="76"/>
      <c r="AF127" s="76"/>
      <c r="AG127" s="76"/>
      <c r="AL127" s="5"/>
      <c r="AM127" s="23"/>
      <c r="AP127" s="3" t="str">
        <f>back!B51</f>
        <v>17M</v>
      </c>
    </row>
    <row r="128" spans="1:43" x14ac:dyDescent="0.2">
      <c r="A128" s="11"/>
      <c r="B128" s="11"/>
      <c r="C128" s="5"/>
      <c r="F128" s="5"/>
      <c r="G128" s="5"/>
      <c r="H128" s="28"/>
      <c r="I128" s="13" t="s">
        <v>115</v>
      </c>
      <c r="J128" s="5"/>
      <c r="K128" s="5"/>
      <c r="L128" s="28"/>
      <c r="M128" s="13" t="s">
        <v>116</v>
      </c>
      <c r="N128" s="5"/>
      <c r="O128" s="5"/>
      <c r="P128" s="5"/>
      <c r="Q128" s="5"/>
      <c r="R128" s="59"/>
      <c r="S128" s="5"/>
      <c r="T128" s="11"/>
      <c r="U128" s="5" t="str">
        <f>IF(back!B160=0," ",back!B160)</f>
        <v xml:space="preserve"> </v>
      </c>
      <c r="V128" s="5"/>
      <c r="W128" s="5"/>
      <c r="X128" s="5"/>
      <c r="Y128" s="5"/>
      <c r="Z128" s="5"/>
      <c r="AA128" s="5"/>
      <c r="AB128" s="5"/>
      <c r="AC128" s="5"/>
      <c r="AD128" s="76"/>
      <c r="AE128" s="76"/>
      <c r="AF128" s="76"/>
      <c r="AG128" s="76"/>
      <c r="AL128" s="5"/>
      <c r="AM128" s="23"/>
      <c r="AP128" s="3" t="str">
        <f>back!B52</f>
        <v>18M</v>
      </c>
    </row>
    <row r="129" spans="1:42" x14ac:dyDescent="0.2">
      <c r="A129" s="11"/>
      <c r="B129" s="11"/>
      <c r="C129" s="5"/>
      <c r="D129" s="5"/>
      <c r="E129" s="5"/>
      <c r="F129" s="5"/>
      <c r="G129" s="5"/>
      <c r="H129" s="28"/>
      <c r="I129" s="13" t="s">
        <v>117</v>
      </c>
      <c r="J129" s="5"/>
      <c r="K129" s="5"/>
      <c r="L129" s="28"/>
      <c r="M129" s="13" t="s">
        <v>118</v>
      </c>
      <c r="N129" s="5"/>
      <c r="O129" s="5"/>
      <c r="P129" s="5"/>
      <c r="Q129" s="5" t="str">
        <f>IF(back!B161=0," ",back!B161)</f>
        <v xml:space="preserve"> </v>
      </c>
      <c r="R129" s="59"/>
      <c r="S129" s="5"/>
      <c r="T129" s="11"/>
      <c r="U129" s="5"/>
      <c r="V129" s="31"/>
      <c r="W129" s="5"/>
      <c r="X129" s="5"/>
      <c r="Y129" s="5"/>
      <c r="Z129" s="5"/>
      <c r="AA129" s="5"/>
      <c r="AB129" s="5"/>
      <c r="AC129" s="5"/>
      <c r="AD129" s="5"/>
      <c r="AE129" s="5"/>
      <c r="AF129" s="5"/>
      <c r="AL129" s="5"/>
      <c r="AM129" s="23"/>
      <c r="AP129" s="3" t="str">
        <f>back!B53</f>
        <v>19M</v>
      </c>
    </row>
    <row r="130" spans="1:42" x14ac:dyDescent="0.2">
      <c r="A130" s="11"/>
      <c r="B130" s="11"/>
      <c r="C130" s="5"/>
      <c r="D130" s="5"/>
      <c r="E130" s="5"/>
      <c r="F130" s="5"/>
      <c r="G130" s="5"/>
      <c r="H130" s="28"/>
      <c r="I130" s="5" t="s">
        <v>119</v>
      </c>
      <c r="J130" s="5"/>
      <c r="K130" s="5"/>
      <c r="L130" s="28"/>
      <c r="M130" s="5" t="s">
        <v>120</v>
      </c>
      <c r="N130" s="5"/>
      <c r="O130" s="5"/>
      <c r="P130" s="5"/>
      <c r="Q130" s="5" t="str">
        <f>IF(back!B162=0," ",back!B162)</f>
        <v xml:space="preserve"> </v>
      </c>
      <c r="R130" s="59"/>
      <c r="S130" s="5"/>
      <c r="T130" s="11"/>
      <c r="U130" s="5" t="str">
        <f>IF(back!$AA$10=2,"Mobile provider chosen by customer:","")</f>
        <v/>
      </c>
      <c r="X130" s="5"/>
      <c r="Y130" s="37"/>
      <c r="Z130" s="37"/>
      <c r="AA130" s="37"/>
      <c r="AB130" s="37"/>
      <c r="AC130" s="37"/>
      <c r="AD130" s="70"/>
      <c r="AE130" s="70"/>
      <c r="AF130" s="70"/>
      <c r="AG130" s="70"/>
      <c r="AL130" s="5"/>
      <c r="AM130" s="23"/>
      <c r="AP130" s="3" t="str">
        <f>back!B54</f>
        <v>20M</v>
      </c>
    </row>
    <row r="131" spans="1:42" x14ac:dyDescent="0.2">
      <c r="A131" s="11"/>
      <c r="B131" s="11"/>
      <c r="C131" s="5"/>
      <c r="D131" s="5"/>
      <c r="E131" s="5"/>
      <c r="F131" s="5"/>
      <c r="G131" s="5"/>
      <c r="H131" s="28"/>
      <c r="I131" s="5" t="s">
        <v>121</v>
      </c>
      <c r="J131" s="13"/>
      <c r="K131" s="5"/>
      <c r="L131" s="28"/>
      <c r="M131" s="5" t="s">
        <v>122</v>
      </c>
      <c r="N131" s="5"/>
      <c r="O131" s="5"/>
      <c r="P131" s="5"/>
      <c r="Q131" s="5" t="str">
        <f>IF(back!B163=0," ",back!B163)</f>
        <v xml:space="preserve"> </v>
      </c>
      <c r="R131" s="59"/>
      <c r="S131" s="5"/>
      <c r="T131" s="11"/>
      <c r="U131" s="5" t="str">
        <f>IF(back!$AA$10=2,"IP Addressing of the wireless connection:","")</f>
        <v/>
      </c>
      <c r="X131" s="5"/>
      <c r="Y131" s="37"/>
      <c r="Z131" s="37"/>
      <c r="AA131" s="37"/>
      <c r="AD131" s="27"/>
      <c r="AE131" s="110" t="str">
        <f>IF(back!$AA$10=2,"Dynamic (NAT) IP Address","")</f>
        <v/>
      </c>
      <c r="AL131" s="5"/>
      <c r="AM131" s="23"/>
      <c r="AP131" s="3" t="str">
        <f>back!B55</f>
        <v>25M</v>
      </c>
    </row>
    <row r="132" spans="1:42" x14ac:dyDescent="0.2">
      <c r="A132" s="11"/>
      <c r="B132" s="11"/>
      <c r="C132" s="5"/>
      <c r="D132" s="5"/>
      <c r="E132" s="5"/>
      <c r="F132" s="5"/>
      <c r="G132" s="5"/>
      <c r="H132" s="5"/>
      <c r="I132" s="5"/>
      <c r="J132" s="5"/>
      <c r="K132" s="5"/>
      <c r="L132" s="5"/>
      <c r="M132" s="5"/>
      <c r="N132" s="5"/>
      <c r="O132" s="5"/>
      <c r="P132" s="5"/>
      <c r="Q132" s="5"/>
      <c r="R132" s="59"/>
      <c r="S132" s="5"/>
      <c r="T132" s="11"/>
      <c r="U132" s="5"/>
      <c r="W132" s="5"/>
      <c r="X132" s="37"/>
      <c r="Y132" s="37"/>
      <c r="Z132" s="37"/>
      <c r="AA132" s="37"/>
      <c r="AD132" s="27"/>
      <c r="AE132" s="110" t="str">
        <f>IF(back!$AA$10=2,"Fixed IP Address:","")</f>
        <v/>
      </c>
      <c r="AL132" s="5"/>
      <c r="AM132" s="23"/>
      <c r="AP132" s="3" t="str">
        <f>back!B56</f>
        <v>30M</v>
      </c>
    </row>
    <row r="133" spans="1:42" x14ac:dyDescent="0.2">
      <c r="A133" s="11"/>
      <c r="B133" s="11"/>
      <c r="D133" s="5"/>
      <c r="E133" s="5"/>
      <c r="F133" s="27"/>
      <c r="G133" s="37" t="str">
        <f>IF(back!S13=1,"when GTS (x)DSL is used, please select N/A"," ")</f>
        <v xml:space="preserve"> </v>
      </c>
      <c r="I133" s="5"/>
      <c r="J133" s="5"/>
      <c r="K133" s="5"/>
      <c r="L133" s="5"/>
      <c r="M133" s="5"/>
      <c r="N133" s="5"/>
      <c r="O133" s="5"/>
      <c r="P133" s="5"/>
      <c r="Q133" s="5"/>
      <c r="R133" s="59"/>
      <c r="S133" s="5"/>
      <c r="T133" s="11"/>
      <c r="U133" s="5" t="str">
        <f>IF(AD132&lt;&gt;"","Please provide the fixed IP address:","")</f>
        <v/>
      </c>
      <c r="W133" s="37"/>
      <c r="X133" s="37"/>
      <c r="Y133" s="37"/>
      <c r="Z133" s="37"/>
      <c r="AA133" s="37"/>
      <c r="AB133" s="37"/>
      <c r="AC133" s="37"/>
      <c r="AD133" s="111"/>
      <c r="AE133" s="112"/>
      <c r="AF133" s="112"/>
      <c r="AG133" s="113"/>
      <c r="AL133" s="5"/>
      <c r="AM133" s="23"/>
      <c r="AP133" s="3" t="str">
        <f>back!B57</f>
        <v>34M</v>
      </c>
    </row>
    <row r="134" spans="1:42" x14ac:dyDescent="0.2">
      <c r="A134" s="11"/>
      <c r="B134" s="11"/>
      <c r="C134" s="5"/>
      <c r="D134" s="5"/>
      <c r="E134" s="5"/>
      <c r="F134" s="5"/>
      <c r="G134" s="5"/>
      <c r="H134" s="5"/>
      <c r="I134" s="5"/>
      <c r="J134" s="5"/>
      <c r="K134" s="5"/>
      <c r="L134" s="5"/>
      <c r="M134" s="5"/>
      <c r="N134" s="5"/>
      <c r="O134" s="5"/>
      <c r="P134" s="5"/>
      <c r="Q134" s="5"/>
      <c r="R134" s="59"/>
      <c r="S134" s="5"/>
      <c r="T134" s="11"/>
      <c r="U134" s="21" t="str">
        <f>IF(back!$AA$10=2,"SIM card details","")</f>
        <v/>
      </c>
      <c r="AL134" s="5"/>
      <c r="AM134" s="23"/>
      <c r="AP134" s="3" t="str">
        <f>back!B58</f>
        <v>40M</v>
      </c>
    </row>
    <row r="135" spans="1:42" x14ac:dyDescent="0.2">
      <c r="A135" s="11"/>
      <c r="B135" s="11"/>
      <c r="C135" s="5"/>
      <c r="D135" s="5"/>
      <c r="E135" s="5"/>
      <c r="F135" s="5"/>
      <c r="G135" s="5"/>
      <c r="H135" s="5"/>
      <c r="I135" s="5"/>
      <c r="J135" s="5"/>
      <c r="K135" s="5"/>
      <c r="L135" s="5"/>
      <c r="M135" s="5"/>
      <c r="N135" s="5"/>
      <c r="O135" s="5"/>
      <c r="P135" s="5"/>
      <c r="Q135" s="5"/>
      <c r="R135" s="59"/>
      <c r="S135" s="5"/>
      <c r="T135" s="11"/>
      <c r="U135" s="5" t="str">
        <f>IF(back!$AA$10=2,"Contact details for the SIM card responsible:","")</f>
        <v/>
      </c>
      <c r="V135" s="5"/>
      <c r="W135" s="5"/>
      <c r="X135" s="5"/>
      <c r="Y135" s="5"/>
      <c r="Z135" s="37"/>
      <c r="AA135" s="37"/>
      <c r="AB135" s="37"/>
      <c r="AC135" s="37"/>
      <c r="AD135" s="37"/>
      <c r="AE135" s="37"/>
      <c r="AF135" s="5"/>
      <c r="AL135" s="5"/>
      <c r="AM135" s="23"/>
      <c r="AP135" s="3" t="str">
        <f>back!B59</f>
        <v>45M</v>
      </c>
    </row>
    <row r="136" spans="1:42" x14ac:dyDescent="0.2">
      <c r="A136" s="11"/>
      <c r="B136" s="11"/>
      <c r="D136" s="5"/>
      <c r="E136" s="5"/>
      <c r="F136" s="5"/>
      <c r="G136" s="114" t="str">
        <f>IF(OR(back!C4=2,back!C4=5,back!C4=6),"PCN *"," ")</f>
        <v xml:space="preserve"> </v>
      </c>
      <c r="H136" s="30"/>
      <c r="I136" s="30"/>
      <c r="J136" s="30"/>
      <c r="K136" s="30"/>
      <c r="L136" s="5"/>
      <c r="M136" s="5"/>
      <c r="N136" s="5"/>
      <c r="O136" s="5"/>
      <c r="P136" s="5"/>
      <c r="Q136" s="5"/>
      <c r="R136" s="59"/>
      <c r="S136" s="5"/>
      <c r="T136" s="11"/>
      <c r="U136" s="5"/>
      <c r="V136" s="5"/>
      <c r="W136" s="5"/>
      <c r="X136" s="5"/>
      <c r="Y136" s="67" t="str">
        <f>IF(back!$AA$10=2,"Contact Name","")</f>
        <v/>
      </c>
      <c r="Z136" s="63"/>
      <c r="AA136" s="115"/>
      <c r="AB136" s="115"/>
      <c r="AC136" s="115"/>
      <c r="AD136" s="115"/>
      <c r="AF136" s="115"/>
      <c r="AG136" s="115"/>
      <c r="AH136" s="115"/>
      <c r="AI136" s="115"/>
      <c r="AJ136" s="5" t="str">
        <f>IF(back!$AA$10=2,"Title","")</f>
        <v/>
      </c>
      <c r="AL136" s="5"/>
      <c r="AM136" s="23"/>
      <c r="AP136" s="3" t="str">
        <f>back!B60</f>
        <v>50M</v>
      </c>
    </row>
    <row r="137" spans="1:42" x14ac:dyDescent="0.2">
      <c r="A137" s="11"/>
      <c r="B137" s="11"/>
      <c r="D137" s="5"/>
      <c r="E137" s="5"/>
      <c r="F137" s="5"/>
      <c r="G137" s="67" t="str">
        <f>IF(back!C4=2,"OLO Provider * "," - ")</f>
        <v xml:space="preserve"> - </v>
      </c>
      <c r="H137" s="71"/>
      <c r="I137" s="71"/>
      <c r="J137" s="71"/>
      <c r="K137" s="71"/>
      <c r="L137" s="37"/>
      <c r="M137" s="5"/>
      <c r="N137" s="5"/>
      <c r="O137" s="5"/>
      <c r="P137" s="5"/>
      <c r="Q137" s="5"/>
      <c r="R137" s="59"/>
      <c r="S137" s="5"/>
      <c r="T137" s="11"/>
      <c r="U137" s="5"/>
      <c r="V137" s="5"/>
      <c r="W137" s="5"/>
      <c r="X137" s="5"/>
      <c r="Y137" s="67" t="str">
        <f>IF(back!$AA$10=2,"E-mail","")</f>
        <v/>
      </c>
      <c r="Z137" s="5"/>
      <c r="AA137" s="115"/>
      <c r="AB137" s="115"/>
      <c r="AC137" s="115"/>
      <c r="AD137" s="115"/>
      <c r="AF137" s="115"/>
      <c r="AG137" s="115"/>
      <c r="AH137" s="115"/>
      <c r="AI137" s="115"/>
      <c r="AJ137" s="5" t="str">
        <f>IF(back!$AA$10=2,"Telephone","")</f>
        <v/>
      </c>
      <c r="AL137" s="5"/>
      <c r="AM137" s="23"/>
      <c r="AP137" s="3" t="str">
        <f>back!B61</f>
        <v>60M</v>
      </c>
    </row>
    <row r="138" spans="1:42" x14ac:dyDescent="0.2">
      <c r="A138" s="11"/>
      <c r="B138" s="11"/>
      <c r="D138" s="5"/>
      <c r="E138" s="5"/>
      <c r="F138" s="5"/>
      <c r="G138" s="67" t="str">
        <f>IF(AND(back!C4=2,back!C11=4),"SIRET *"," - ")</f>
        <v xml:space="preserve"> - </v>
      </c>
      <c r="H138" s="71"/>
      <c r="I138" s="71"/>
      <c r="J138" s="71"/>
      <c r="K138" s="71"/>
      <c r="L138" s="5"/>
      <c r="M138" s="5"/>
      <c r="N138" s="5"/>
      <c r="O138" s="5"/>
      <c r="P138" s="5"/>
      <c r="Q138" s="5"/>
      <c r="R138" s="59"/>
      <c r="S138" s="5"/>
      <c r="T138" s="11"/>
      <c r="U138" s="5"/>
      <c r="V138" s="5"/>
      <c r="W138" s="5"/>
      <c r="X138" s="5"/>
      <c r="Y138" s="67" t="str">
        <f>IF(back!$AA$10=2,"Mobile Number","")</f>
        <v/>
      </c>
      <c r="Z138" s="5"/>
      <c r="AA138" s="115"/>
      <c r="AB138" s="115"/>
      <c r="AC138" s="115"/>
      <c r="AD138" s="115"/>
      <c r="AF138" s="115"/>
      <c r="AG138" s="115"/>
      <c r="AH138" s="115"/>
      <c r="AI138" s="115"/>
      <c r="AJ138" s="5" t="str">
        <f>IF(back!$AA$10=2,"Fax Number","")</f>
        <v/>
      </c>
      <c r="AL138" s="5"/>
      <c r="AM138" s="23"/>
      <c r="AP138" s="3" t="str">
        <f>back!B62</f>
        <v>70M</v>
      </c>
    </row>
    <row r="139" spans="1:42" x14ac:dyDescent="0.2">
      <c r="A139" s="11"/>
      <c r="B139" s="11"/>
      <c r="D139" s="5"/>
      <c r="E139" s="5"/>
      <c r="F139" s="5"/>
      <c r="G139" s="116" t="str">
        <f>IF(back!$C$4=2,"Ethernet Circuit bandwidth *"," - ")</f>
        <v xml:space="preserve"> - </v>
      </c>
      <c r="H139" s="71"/>
      <c r="I139" s="71"/>
      <c r="J139" s="71"/>
      <c r="K139" s="71"/>
      <c r="L139" s="5"/>
      <c r="M139" s="5"/>
      <c r="N139" s="5"/>
      <c r="O139" s="5"/>
      <c r="P139" s="5"/>
      <c r="Q139" s="5"/>
      <c r="R139" s="59"/>
      <c r="S139" s="5"/>
      <c r="T139" s="11"/>
      <c r="U139" s="5"/>
      <c r="V139" s="5"/>
      <c r="W139" s="5"/>
      <c r="X139" s="5"/>
      <c r="Y139" s="67" t="str">
        <f>IF(back!$AA$10=2,"Correspondence Language","")</f>
        <v/>
      </c>
      <c r="Z139" s="5"/>
      <c r="AA139" s="115"/>
      <c r="AB139" s="115"/>
      <c r="AC139" s="115"/>
      <c r="AD139" s="115"/>
      <c r="AE139" s="5"/>
      <c r="AL139" s="5"/>
      <c r="AM139" s="23"/>
      <c r="AP139" s="3" t="str">
        <f>back!B63</f>
        <v>80M</v>
      </c>
    </row>
    <row r="140" spans="1:42" x14ac:dyDescent="0.2">
      <c r="A140" s="11"/>
      <c r="B140" s="117" t="str">
        <f>IF(back!$C$4=2,"(equal to or higher than the IP Service Bandwidth)","  ")</f>
        <v xml:space="preserve">  </v>
      </c>
      <c r="C140" s="118"/>
      <c r="D140" s="5"/>
      <c r="E140" s="5"/>
      <c r="F140" s="5"/>
      <c r="G140" s="5"/>
      <c r="H140" s="5"/>
      <c r="I140" s="5"/>
      <c r="J140" s="5"/>
      <c r="K140" s="5"/>
      <c r="L140" s="5"/>
      <c r="M140" s="5"/>
      <c r="N140" s="5"/>
      <c r="O140" s="5"/>
      <c r="P140" s="5"/>
      <c r="Q140" s="5"/>
      <c r="R140" s="59"/>
      <c r="S140" s="5"/>
      <c r="T140" s="11"/>
      <c r="U140" s="5"/>
      <c r="V140" s="5"/>
      <c r="W140" s="5"/>
      <c r="X140" s="5"/>
      <c r="Y140" s="5"/>
      <c r="Z140" s="5"/>
      <c r="AA140" s="5"/>
      <c r="AB140" s="5"/>
      <c r="AC140" s="5"/>
      <c r="AD140" s="5"/>
      <c r="AE140" s="5"/>
      <c r="AL140" s="5"/>
      <c r="AM140" s="23"/>
      <c r="AP140" s="3" t="str">
        <f>back!B64</f>
        <v>90M</v>
      </c>
    </row>
    <row r="141" spans="1:42" x14ac:dyDescent="0.2">
      <c r="A141" s="11"/>
      <c r="B141" s="11"/>
      <c r="C141" s="5" t="str">
        <f>IF(back!C4=1,"CPE Router power type"," ")</f>
        <v>CPE Router power type</v>
      </c>
      <c r="D141" s="5"/>
      <c r="E141" s="5"/>
      <c r="F141" s="5"/>
      <c r="G141" s="5"/>
      <c r="H141" s="27" t="s">
        <v>9</v>
      </c>
      <c r="I141" s="5" t="str">
        <f>IF(back!C4=1,"AC power (default)"," ")</f>
        <v>AC power (default)</v>
      </c>
      <c r="J141" s="5"/>
      <c r="K141" s="5"/>
      <c r="L141" s="5"/>
      <c r="M141" s="5"/>
      <c r="N141" s="5"/>
      <c r="O141" s="5"/>
      <c r="P141" s="5"/>
      <c r="Q141" s="5"/>
      <c r="R141" s="59"/>
      <c r="S141" s="5"/>
      <c r="T141" s="11"/>
      <c r="U141" s="5"/>
      <c r="V141" s="5"/>
      <c r="W141" s="5"/>
      <c r="X141" s="5"/>
      <c r="Y141" s="67" t="str">
        <f>IF(back!$AA$10=2," APN (Access Point Name)","")</f>
        <v/>
      </c>
      <c r="Z141" s="5"/>
      <c r="AA141" s="115"/>
      <c r="AB141" s="115"/>
      <c r="AC141" s="115"/>
      <c r="AD141" s="115"/>
      <c r="AE141" s="5"/>
      <c r="AF141" s="115"/>
      <c r="AG141" s="115"/>
      <c r="AH141" s="115"/>
      <c r="AI141" s="115"/>
      <c r="AJ141" s="5" t="str">
        <f>IF(back!$AA$10=2,"Default User name","")</f>
        <v/>
      </c>
      <c r="AL141" s="5"/>
      <c r="AM141" s="23"/>
      <c r="AP141" s="3" t="str">
        <f>back!B65</f>
        <v>100M</v>
      </c>
    </row>
    <row r="142" spans="1:42" x14ac:dyDescent="0.2">
      <c r="A142" s="11"/>
      <c r="B142" s="11"/>
      <c r="C142" s="5"/>
      <c r="D142" s="5"/>
      <c r="E142" s="5"/>
      <c r="F142" s="5"/>
      <c r="G142" s="5"/>
      <c r="H142" s="28"/>
      <c r="I142" s="5" t="str">
        <f>IF(back!C4=1,"DC power (not available with all CPE types)"," ")</f>
        <v>DC power (not available with all CPE types)</v>
      </c>
      <c r="J142" s="5"/>
      <c r="K142" s="5"/>
      <c r="L142" s="5"/>
      <c r="M142" s="5"/>
      <c r="N142" s="5"/>
      <c r="O142" s="5"/>
      <c r="P142" s="5"/>
      <c r="Q142" s="5"/>
      <c r="R142" s="59"/>
      <c r="S142" s="5"/>
      <c r="T142" s="11"/>
      <c r="U142" s="5"/>
      <c r="V142" s="5"/>
      <c r="W142" s="5"/>
      <c r="X142" s="5"/>
      <c r="Y142" s="67" t="str">
        <f>IF(back!$AA$10=2,"PIN SIM card","")</f>
        <v/>
      </c>
      <c r="Z142" s="5"/>
      <c r="AA142" s="115"/>
      <c r="AB142" s="115"/>
      <c r="AC142" s="115"/>
      <c r="AD142" s="115"/>
      <c r="AE142" s="5"/>
      <c r="AF142" s="115"/>
      <c r="AG142" s="115"/>
      <c r="AH142" s="115"/>
      <c r="AI142" s="115"/>
      <c r="AJ142" s="5" t="str">
        <f>IF(back!$AA$10=2,"Default Password","")</f>
        <v/>
      </c>
      <c r="AL142" s="5"/>
      <c r="AM142" s="23"/>
      <c r="AP142" s="3" t="str">
        <f>back!B66</f>
        <v>110M</v>
      </c>
    </row>
    <row r="143" spans="1:42" x14ac:dyDescent="0.2">
      <c r="A143" s="11"/>
      <c r="B143" s="11"/>
      <c r="C143" s="5"/>
      <c r="D143" s="5"/>
      <c r="E143" s="5"/>
      <c r="F143" s="5"/>
      <c r="G143" s="5"/>
      <c r="H143" s="31"/>
      <c r="I143" s="13" t="str">
        <f>IF(back!C4=1,"note: DC powered CPE could be more expensive","")</f>
        <v>note: DC powered CPE could be more expensive</v>
      </c>
      <c r="J143" s="5"/>
      <c r="K143" s="5"/>
      <c r="L143" s="5"/>
      <c r="M143" s="5"/>
      <c r="N143" s="5"/>
      <c r="O143" s="5"/>
      <c r="P143" s="5"/>
      <c r="Q143" s="5"/>
      <c r="R143" s="59"/>
      <c r="S143" s="5"/>
      <c r="T143" s="11"/>
      <c r="U143" s="5"/>
      <c r="V143" s="5"/>
      <c r="W143" s="5"/>
      <c r="X143" s="5"/>
      <c r="Y143" s="67" t="str">
        <f>IF(back!$AA$10=2,"Authentication method ","")</f>
        <v/>
      </c>
      <c r="Z143" s="5"/>
      <c r="AA143" s="27"/>
      <c r="AB143" s="5" t="str">
        <f>IF(back!$AA$10=2,"PAP","")</f>
        <v/>
      </c>
      <c r="AC143" s="5"/>
      <c r="AD143" s="5"/>
      <c r="AE143" s="5"/>
      <c r="AF143" s="115"/>
      <c r="AG143" s="115"/>
      <c r="AH143" s="115"/>
      <c r="AI143" s="115"/>
      <c r="AJ143" s="1" t="str">
        <f>IF(back!$AA$10=2,"SIM No","")</f>
        <v/>
      </c>
      <c r="AL143" s="5"/>
      <c r="AM143" s="23"/>
      <c r="AP143" s="3" t="str">
        <f>back!B67</f>
        <v>120M</v>
      </c>
    </row>
    <row r="144" spans="1:42" x14ac:dyDescent="0.2">
      <c r="A144" s="11"/>
      <c r="B144" s="11"/>
      <c r="C144" s="13" t="s">
        <v>123</v>
      </c>
      <c r="D144" s="5"/>
      <c r="E144" s="5"/>
      <c r="F144" s="5"/>
      <c r="G144" s="5"/>
      <c r="H144" s="5"/>
      <c r="I144" s="5"/>
      <c r="J144" s="5"/>
      <c r="K144" s="5"/>
      <c r="L144" s="5"/>
      <c r="M144" s="5"/>
      <c r="N144" s="5"/>
      <c r="O144" s="5"/>
      <c r="P144" s="5"/>
      <c r="Q144" s="5"/>
      <c r="R144" s="59"/>
      <c r="S144" s="5"/>
      <c r="T144" s="11"/>
      <c r="U144" s="5"/>
      <c r="V144" s="5"/>
      <c r="W144" s="5"/>
      <c r="X144" s="5"/>
      <c r="Y144" s="5"/>
      <c r="Z144" s="5"/>
      <c r="AA144" s="28"/>
      <c r="AB144" s="5" t="str">
        <f>IF(back!$AA$10=2,"CHAP","")</f>
        <v/>
      </c>
      <c r="AC144" s="5"/>
      <c r="AD144" s="5"/>
      <c r="AE144" s="5"/>
      <c r="AL144" s="5"/>
      <c r="AM144" s="23"/>
      <c r="AP144" s="3" t="str">
        <f>back!B68</f>
        <v>130M</v>
      </c>
    </row>
    <row r="145" spans="1:42" x14ac:dyDescent="0.2">
      <c r="A145" s="11"/>
      <c r="B145" s="24"/>
      <c r="C145" s="15" t="s">
        <v>124</v>
      </c>
      <c r="D145" s="14"/>
      <c r="E145" s="14"/>
      <c r="F145" s="14"/>
      <c r="G145" s="14"/>
      <c r="H145" s="14"/>
      <c r="I145" s="14"/>
      <c r="J145" s="14"/>
      <c r="K145" s="14"/>
      <c r="L145" s="14"/>
      <c r="M145" s="14"/>
      <c r="N145" s="14"/>
      <c r="O145" s="14"/>
      <c r="P145" s="14"/>
      <c r="Q145" s="14"/>
      <c r="R145" s="90"/>
      <c r="S145" s="5"/>
      <c r="T145" s="24"/>
      <c r="U145" s="14"/>
      <c r="V145" s="14"/>
      <c r="W145" s="14"/>
      <c r="X145" s="14"/>
      <c r="Y145" s="14"/>
      <c r="Z145" s="14"/>
      <c r="AA145" s="14"/>
      <c r="AB145" s="14"/>
      <c r="AC145" s="14"/>
      <c r="AD145" s="14"/>
      <c r="AE145" s="14"/>
      <c r="AF145" s="14"/>
      <c r="AG145" s="14"/>
      <c r="AH145" s="14"/>
      <c r="AI145" s="14"/>
      <c r="AJ145" s="14"/>
      <c r="AK145" s="14"/>
      <c r="AL145" s="14"/>
      <c r="AM145" s="26"/>
      <c r="AP145" s="3" t="str">
        <f>back!B69</f>
        <v>140M</v>
      </c>
    </row>
    <row r="146" spans="1:42" x14ac:dyDescent="0.2">
      <c r="A146" s="1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14"/>
      <c r="AF146" s="14"/>
      <c r="AG146" s="14"/>
      <c r="AH146" s="14"/>
      <c r="AI146" s="14"/>
      <c r="AJ146" s="14"/>
      <c r="AK146" s="14"/>
      <c r="AL146" s="14"/>
      <c r="AM146" s="15"/>
      <c r="AP146" s="3" t="str">
        <f>back!B70</f>
        <v>155M</v>
      </c>
    </row>
    <row r="147" spans="1:42" x14ac:dyDescent="0.2">
      <c r="A147" s="11"/>
      <c r="B147" s="119"/>
      <c r="C147" s="120" t="s">
        <v>125</v>
      </c>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5"/>
      <c r="AF147" s="5"/>
      <c r="AM147" s="19"/>
      <c r="AP147" s="3" t="str">
        <f>back!B71</f>
        <v>200M</v>
      </c>
    </row>
    <row r="148" spans="1:42" x14ac:dyDescent="0.2">
      <c r="A148" s="11"/>
      <c r="B148" s="36"/>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5"/>
      <c r="AF148" s="5"/>
      <c r="AM148" s="23"/>
      <c r="AP148" s="3" t="str">
        <f>back!B72</f>
        <v>300M</v>
      </c>
    </row>
    <row r="149" spans="1:42" x14ac:dyDescent="0.2">
      <c r="A149" s="11"/>
      <c r="B149" s="36"/>
      <c r="C149" s="5" t="s">
        <v>126</v>
      </c>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5"/>
      <c r="AF149" s="5"/>
      <c r="AM149" s="23"/>
      <c r="AP149" s="3" t="str">
        <f>back!B73</f>
        <v>400M</v>
      </c>
    </row>
    <row r="150" spans="1:42" x14ac:dyDescent="0.2">
      <c r="A150" s="11"/>
      <c r="B150" s="36"/>
      <c r="C150" s="5" t="s">
        <v>127</v>
      </c>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5"/>
      <c r="AF150" s="5"/>
      <c r="AM150" s="23"/>
      <c r="AP150" s="3" t="str">
        <f>back!B74</f>
        <v>500M</v>
      </c>
    </row>
    <row r="151" spans="1:42" x14ac:dyDescent="0.2">
      <c r="A151" s="11"/>
      <c r="B151" s="36"/>
      <c r="C151" s="5"/>
      <c r="D151" s="37"/>
      <c r="E151" s="37"/>
      <c r="F151" s="37"/>
      <c r="G151" s="37"/>
      <c r="H151" s="37"/>
      <c r="I151" s="37"/>
      <c r="J151" s="37"/>
      <c r="R151" s="37"/>
      <c r="S151" s="37"/>
      <c r="T151" s="37"/>
      <c r="U151" s="37"/>
      <c r="V151" s="37"/>
      <c r="W151" s="37"/>
      <c r="X151" s="37"/>
      <c r="Y151" s="37"/>
      <c r="Z151" s="37"/>
      <c r="AA151" s="37"/>
      <c r="AB151" s="37"/>
      <c r="AC151" s="37"/>
      <c r="AD151" s="37"/>
      <c r="AE151" s="5"/>
      <c r="AF151" s="5"/>
      <c r="AM151" s="23"/>
      <c r="AP151" s="3" t="str">
        <f>back!B75</f>
        <v>600M</v>
      </c>
    </row>
    <row r="152" spans="1:42" x14ac:dyDescent="0.2">
      <c r="A152" s="11"/>
      <c r="B152" s="36"/>
      <c r="C152" s="5" t="s">
        <v>128</v>
      </c>
      <c r="D152" s="37"/>
      <c r="E152" s="37"/>
      <c r="F152" s="37"/>
      <c r="G152" s="37"/>
      <c r="H152" s="37"/>
      <c r="I152" s="37"/>
      <c r="J152" s="37"/>
      <c r="K152" s="77" t="s">
        <v>129</v>
      </c>
      <c r="L152" s="77"/>
      <c r="M152" s="77"/>
      <c r="N152" s="77"/>
      <c r="O152" s="77"/>
      <c r="P152" s="77"/>
      <c r="Q152" s="77"/>
      <c r="S152" s="50" t="s">
        <v>130</v>
      </c>
      <c r="W152" s="37"/>
      <c r="X152" s="37"/>
      <c r="Y152" s="37"/>
      <c r="Z152" s="37"/>
      <c r="AA152" s="37"/>
      <c r="AB152" s="37"/>
      <c r="AC152" s="37"/>
      <c r="AD152" s="37"/>
      <c r="AE152" s="5"/>
      <c r="AF152" s="5"/>
      <c r="AM152" s="23"/>
      <c r="AP152" s="3" t="str">
        <f>back!B76</f>
        <v>700M</v>
      </c>
    </row>
    <row r="153" spans="1:42" x14ac:dyDescent="0.2">
      <c r="A153" s="11"/>
      <c r="B153" s="46"/>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14"/>
      <c r="AF153" s="14"/>
      <c r="AG153" s="14"/>
      <c r="AH153" s="14"/>
      <c r="AI153" s="14"/>
      <c r="AJ153" s="14"/>
      <c r="AK153" s="14"/>
      <c r="AL153" s="14"/>
      <c r="AM153" s="26"/>
      <c r="AP153" s="3" t="str">
        <f>back!B77</f>
        <v>800M</v>
      </c>
    </row>
    <row r="154" spans="1:42" x14ac:dyDescent="0.2">
      <c r="A154" s="1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14"/>
      <c r="AF154" s="14"/>
      <c r="AG154" s="14"/>
      <c r="AH154" s="14"/>
      <c r="AI154" s="14"/>
      <c r="AJ154" s="14"/>
      <c r="AK154" s="14"/>
      <c r="AL154" s="14"/>
      <c r="AM154" s="15"/>
      <c r="AP154" s="3" t="str">
        <f>back!B78</f>
        <v>900M</v>
      </c>
    </row>
    <row r="155" spans="1:42" x14ac:dyDescent="0.2">
      <c r="A155" s="11"/>
      <c r="B155" s="16"/>
      <c r="C155" s="121"/>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5"/>
      <c r="AF155" s="5"/>
      <c r="AM155" s="23"/>
      <c r="AP155" s="3" t="str">
        <f>back!B79</f>
        <v>1G</v>
      </c>
    </row>
    <row r="156" spans="1:42" x14ac:dyDescent="0.2">
      <c r="A156" s="11"/>
      <c r="B156" s="11"/>
      <c r="C156" s="122" t="s">
        <v>131</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M156" s="23"/>
      <c r="AP156" s="3" t="str">
        <f>back!B80</f>
        <v>2G</v>
      </c>
    </row>
    <row r="157" spans="1:42" x14ac:dyDescent="0.2">
      <c r="A157" s="11"/>
      <c r="B157" s="11"/>
      <c r="C157" s="13" t="s">
        <v>132</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M157" s="23"/>
      <c r="AP157" s="3" t="str">
        <f>back!B81</f>
        <v>3G</v>
      </c>
    </row>
    <row r="158" spans="1:42" x14ac:dyDescent="0.2">
      <c r="A158" s="11"/>
      <c r="B158" s="11"/>
      <c r="C158" s="122" t="s">
        <v>133</v>
      </c>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M158" s="123"/>
      <c r="AP158" s="3" t="str">
        <f>back!B82</f>
        <v>4G</v>
      </c>
    </row>
    <row r="159" spans="1:42" x14ac:dyDescent="0.2">
      <c r="A159" s="11"/>
      <c r="B159" s="11"/>
      <c r="C159" s="5" t="s">
        <v>134</v>
      </c>
      <c r="D159" s="5"/>
      <c r="E159" s="5"/>
      <c r="F159" s="27" t="s">
        <v>9</v>
      </c>
      <c r="G159" s="5" t="s">
        <v>135</v>
      </c>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M159" s="123"/>
      <c r="AP159" s="3" t="str">
        <f>back!B83</f>
        <v>5G</v>
      </c>
    </row>
    <row r="160" spans="1:42" x14ac:dyDescent="0.2">
      <c r="A160" s="11"/>
      <c r="B160" s="11"/>
      <c r="C160" s="5" t="s">
        <v>136</v>
      </c>
      <c r="D160" s="5"/>
      <c r="E160" s="5"/>
      <c r="F160" s="27"/>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M160" s="123"/>
      <c r="AP160" s="3" t="str">
        <f>back!B84</f>
        <v>6G</v>
      </c>
    </row>
    <row r="161" spans="1:42" x14ac:dyDescent="0.2">
      <c r="A161" s="11"/>
      <c r="B161" s="11"/>
      <c r="C161" s="5" t="s">
        <v>137</v>
      </c>
      <c r="D161" s="5"/>
      <c r="E161" s="5"/>
      <c r="F161" s="27"/>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M161" s="123"/>
      <c r="AP161" s="3" t="str">
        <f>back!B85</f>
        <v>7G</v>
      </c>
    </row>
    <row r="162" spans="1:42" x14ac:dyDescent="0.2">
      <c r="A162" s="11"/>
      <c r="B162" s="11"/>
      <c r="C162" s="64"/>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M162" s="123"/>
      <c r="AP162" s="3" t="str">
        <f>back!B86</f>
        <v>8G</v>
      </c>
    </row>
    <row r="163" spans="1:42" x14ac:dyDescent="0.2">
      <c r="A163" s="11"/>
      <c r="B163" s="11"/>
      <c r="C163" s="5"/>
      <c r="D163" s="5"/>
      <c r="E163" s="5"/>
      <c r="F163" s="5"/>
      <c r="G163" s="5"/>
      <c r="H163" s="5"/>
      <c r="I163" s="5"/>
      <c r="J163" s="5"/>
      <c r="K163" s="5"/>
      <c r="L163" s="5"/>
      <c r="M163" s="5"/>
      <c r="N163" s="5"/>
      <c r="O163" s="5"/>
      <c r="Q163" s="5" t="s">
        <v>138</v>
      </c>
      <c r="R163" s="5"/>
      <c r="S163" s="5"/>
      <c r="T163" s="5"/>
      <c r="U163" s="5"/>
      <c r="V163" s="5" t="s">
        <v>139</v>
      </c>
      <c r="W163" s="5"/>
      <c r="X163" s="5"/>
      <c r="Y163" s="5"/>
      <c r="Z163" s="5"/>
      <c r="AA163" s="5"/>
      <c r="AB163" s="5"/>
      <c r="AC163" s="5"/>
      <c r="AD163" s="5"/>
      <c r="AE163" s="5"/>
      <c r="AF163" s="5"/>
      <c r="AM163" s="123"/>
      <c r="AP163" s="3" t="str">
        <f>back!B87</f>
        <v>9G</v>
      </c>
    </row>
    <row r="164" spans="1:42" x14ac:dyDescent="0.2">
      <c r="A164" s="11"/>
      <c r="B164" s="20" t="s">
        <v>64</v>
      </c>
      <c r="C164" s="21" t="s">
        <v>140</v>
      </c>
      <c r="D164" s="5"/>
      <c r="E164" s="5"/>
      <c r="F164" s="5"/>
      <c r="G164" s="5"/>
      <c r="H164" s="5"/>
      <c r="I164" s="5"/>
      <c r="J164" s="5"/>
      <c r="K164" s="5"/>
      <c r="L164" s="5"/>
      <c r="M164" s="5"/>
      <c r="N164" s="5"/>
      <c r="O164" s="5"/>
      <c r="Q164" s="124">
        <v>172</v>
      </c>
      <c r="R164" s="125">
        <v>16</v>
      </c>
      <c r="S164" s="125">
        <v>31</v>
      </c>
      <c r="T164" s="126">
        <v>24</v>
      </c>
      <c r="U164" s="5"/>
      <c r="V164" s="124">
        <v>255</v>
      </c>
      <c r="W164" s="125">
        <v>255</v>
      </c>
      <c r="X164" s="125">
        <v>255</v>
      </c>
      <c r="Y164" s="126">
        <v>248</v>
      </c>
      <c r="Z164" s="5"/>
      <c r="AA164" s="5"/>
      <c r="AB164" s="5"/>
      <c r="AC164" s="5"/>
      <c r="AD164" s="5"/>
      <c r="AE164" s="5"/>
      <c r="AF164" s="5"/>
      <c r="AM164" s="123"/>
      <c r="AP164" s="3" t="str">
        <f>back!B88</f>
        <v>10G</v>
      </c>
    </row>
    <row r="165" spans="1:42" x14ac:dyDescent="0.2">
      <c r="A165" s="11"/>
      <c r="B165" s="20"/>
      <c r="C165" s="39" t="str">
        <f>IF(D40&lt;&gt;"","Note: for DCA use the customers Cloud IP range","")</f>
        <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M165" s="123"/>
      <c r="AP165" s="3">
        <f>back!B89</f>
        <v>0</v>
      </c>
    </row>
    <row r="166" spans="1:42" x14ac:dyDescent="0.2">
      <c r="A166" s="11"/>
      <c r="B166" s="20"/>
      <c r="C166" s="64"/>
      <c r="D166" s="5"/>
      <c r="E166" s="5"/>
      <c r="F166" s="5"/>
      <c r="G166" s="5"/>
      <c r="H166" s="5"/>
      <c r="I166" s="5"/>
      <c r="J166" s="5"/>
      <c r="K166" s="5"/>
      <c r="L166" s="5"/>
      <c r="M166" s="5"/>
      <c r="N166" s="5"/>
      <c r="P166" s="5"/>
      <c r="Q166" s="5" t="s">
        <v>141</v>
      </c>
      <c r="R166" s="5"/>
      <c r="S166" s="5"/>
      <c r="T166" s="5"/>
      <c r="U166" s="5"/>
      <c r="V166" s="5"/>
      <c r="W166" s="5"/>
      <c r="X166" s="5"/>
      <c r="Y166" s="5"/>
      <c r="Z166" s="5"/>
      <c r="AA166" s="5" t="s">
        <v>139</v>
      </c>
      <c r="AB166" s="5"/>
      <c r="AC166" s="5"/>
      <c r="AD166" s="5"/>
      <c r="AE166" s="5"/>
      <c r="AF166" s="5"/>
      <c r="AM166" s="123"/>
      <c r="AP166" s="3">
        <f>back!B90</f>
        <v>0</v>
      </c>
    </row>
    <row r="167" spans="1:42" x14ac:dyDescent="0.2">
      <c r="A167" s="11"/>
      <c r="B167" s="20"/>
      <c r="C167" s="21" t="s">
        <v>142</v>
      </c>
      <c r="D167" s="5"/>
      <c r="E167" s="5"/>
      <c r="F167" s="5"/>
      <c r="G167" s="5"/>
      <c r="H167" s="5"/>
      <c r="I167" s="5"/>
      <c r="J167" s="5"/>
      <c r="K167" s="5"/>
      <c r="L167" s="5"/>
      <c r="M167" s="5"/>
      <c r="N167" s="5"/>
      <c r="O167" s="5"/>
      <c r="P167" s="5"/>
      <c r="Q167" s="127"/>
      <c r="R167" s="127"/>
      <c r="S167" s="127"/>
      <c r="T167" s="127"/>
      <c r="U167" s="127"/>
      <c r="V167" s="127"/>
      <c r="W167" s="127"/>
      <c r="X167" s="127"/>
      <c r="Y167" s="127"/>
      <c r="Z167" s="67" t="s">
        <v>143</v>
      </c>
      <c r="AA167" s="128"/>
      <c r="AB167" s="5"/>
      <c r="AC167" s="5"/>
      <c r="AD167" s="5"/>
      <c r="AE167" s="5"/>
      <c r="AF167" s="5"/>
      <c r="AG167" s="5"/>
      <c r="AH167" s="5"/>
      <c r="AI167" s="5"/>
      <c r="AJ167" s="5"/>
      <c r="AK167" s="5"/>
      <c r="AM167" s="123"/>
      <c r="AP167" s="3">
        <f>back!B91</f>
        <v>0</v>
      </c>
    </row>
    <row r="168" spans="1:42" x14ac:dyDescent="0.2">
      <c r="A168" s="11"/>
      <c r="B168" s="20"/>
      <c r="C168" s="13"/>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M168" s="23"/>
      <c r="AP168" s="3">
        <f>back!B92</f>
        <v>0</v>
      </c>
    </row>
    <row r="169" spans="1:42" x14ac:dyDescent="0.2">
      <c r="A169" s="11"/>
      <c r="B169" s="11"/>
      <c r="D169" s="129" t="s">
        <v>144</v>
      </c>
      <c r="E169" s="50"/>
      <c r="F169" s="13"/>
      <c r="G169" s="13"/>
      <c r="H169" s="13"/>
      <c r="I169" s="13"/>
      <c r="J169" s="64"/>
      <c r="K169" s="64"/>
      <c r="L169" s="5"/>
      <c r="M169" s="5"/>
      <c r="N169" s="5"/>
      <c r="O169" s="5"/>
      <c r="P169" s="5"/>
      <c r="Q169" s="5"/>
      <c r="R169" s="5"/>
      <c r="S169" s="5"/>
      <c r="T169" s="5"/>
      <c r="U169" s="5"/>
      <c r="V169" s="5"/>
      <c r="W169" s="5"/>
      <c r="X169" s="5"/>
      <c r="Y169" s="5"/>
      <c r="Z169" s="5"/>
      <c r="AA169" s="5"/>
      <c r="AB169" s="5"/>
      <c r="AC169" s="5"/>
      <c r="AD169" s="5"/>
      <c r="AE169" s="5"/>
      <c r="AF169" s="5"/>
      <c r="AM169" s="23"/>
      <c r="AP169" s="3">
        <f>back!B93</f>
        <v>0</v>
      </c>
    </row>
    <row r="170" spans="1:42" x14ac:dyDescent="0.2">
      <c r="A170" s="11"/>
      <c r="B170" s="11"/>
      <c r="D170" s="129"/>
      <c r="E170" s="50"/>
      <c r="F170" s="13"/>
      <c r="G170" s="13"/>
      <c r="H170" s="13"/>
      <c r="I170" s="13"/>
      <c r="J170" s="64"/>
      <c r="K170" s="64"/>
      <c r="L170" s="5"/>
      <c r="M170" s="5"/>
      <c r="N170" s="5"/>
      <c r="O170" s="5"/>
      <c r="P170" s="5"/>
      <c r="Q170" s="5"/>
      <c r="R170" s="5"/>
      <c r="S170" s="5"/>
      <c r="T170" s="5"/>
      <c r="U170" s="5"/>
      <c r="V170" s="5"/>
      <c r="W170" s="5"/>
      <c r="X170" s="5"/>
      <c r="Y170" s="5"/>
      <c r="Z170" s="5"/>
      <c r="AA170" s="5"/>
      <c r="AB170" s="5"/>
      <c r="AC170" s="5"/>
      <c r="AD170" s="5"/>
      <c r="AE170" s="5"/>
      <c r="AF170" s="5"/>
      <c r="AM170" s="23"/>
      <c r="AP170" s="3">
        <f>back!B94</f>
        <v>0</v>
      </c>
    </row>
    <row r="171" spans="1:42" x14ac:dyDescent="0.2">
      <c r="A171" s="11"/>
      <c r="B171" s="11"/>
      <c r="D171" s="129"/>
      <c r="F171" s="13" t="s">
        <v>145</v>
      </c>
      <c r="G171" s="13"/>
      <c r="H171" s="13"/>
      <c r="I171" s="13"/>
      <c r="J171" s="64"/>
      <c r="K171" s="64"/>
      <c r="M171" s="5"/>
      <c r="N171" s="13" t="s">
        <v>146</v>
      </c>
      <c r="Q171" s="13"/>
      <c r="R171" s="13"/>
      <c r="S171" s="13"/>
      <c r="T171" s="13"/>
      <c r="U171" s="64"/>
      <c r="V171" s="64"/>
      <c r="W171" s="5"/>
      <c r="X171" s="5"/>
      <c r="Y171" s="5"/>
      <c r="Z171" s="5"/>
      <c r="AA171" s="5"/>
      <c r="AB171" s="5"/>
      <c r="AC171" s="5"/>
      <c r="AD171" s="5"/>
      <c r="AE171" s="5"/>
      <c r="AF171" s="5"/>
      <c r="AM171" s="23"/>
      <c r="AP171" s="3">
        <f>back!B95</f>
        <v>0</v>
      </c>
    </row>
    <row r="172" spans="1:42" x14ac:dyDescent="0.2">
      <c r="A172" s="11"/>
      <c r="B172" s="11"/>
      <c r="D172" s="13"/>
      <c r="F172" s="13" t="s">
        <v>145</v>
      </c>
      <c r="G172" s="13"/>
      <c r="H172" s="13"/>
      <c r="I172" s="13"/>
      <c r="J172" s="64"/>
      <c r="K172" s="64"/>
      <c r="M172" s="5"/>
      <c r="N172" s="13" t="s">
        <v>147</v>
      </c>
      <c r="Q172" s="13"/>
      <c r="R172" s="13"/>
      <c r="S172" s="13"/>
      <c r="T172" s="13"/>
      <c r="U172" s="64"/>
      <c r="V172" s="64"/>
      <c r="W172" s="5"/>
      <c r="X172" s="5"/>
      <c r="Y172" s="5"/>
      <c r="Z172" s="5"/>
      <c r="AA172" s="5"/>
      <c r="AB172" s="5"/>
      <c r="AC172" s="5"/>
      <c r="AD172" s="5"/>
      <c r="AE172" s="5"/>
      <c r="AF172" s="5"/>
      <c r="AM172" s="23"/>
      <c r="AP172" s="3">
        <f>back!B96</f>
        <v>0</v>
      </c>
    </row>
    <row r="173" spans="1:42" x14ac:dyDescent="0.2">
      <c r="A173" s="11"/>
      <c r="B173" s="11"/>
      <c r="D173" s="13"/>
      <c r="F173" s="13" t="s">
        <v>148</v>
      </c>
      <c r="G173" s="13"/>
      <c r="H173" s="13"/>
      <c r="I173" s="13"/>
      <c r="J173" s="64"/>
      <c r="K173" s="64"/>
      <c r="M173" s="5"/>
      <c r="N173" s="13" t="s">
        <v>149</v>
      </c>
      <c r="Q173" s="13"/>
      <c r="R173" s="13"/>
      <c r="S173" s="13"/>
      <c r="T173" s="13"/>
      <c r="U173" s="64"/>
      <c r="V173" s="64"/>
      <c r="W173" s="5"/>
      <c r="X173" s="5"/>
      <c r="Y173" s="5"/>
      <c r="Z173" s="5"/>
      <c r="AA173" s="5"/>
      <c r="AB173" s="5"/>
      <c r="AC173" s="5"/>
      <c r="AD173" s="5"/>
      <c r="AE173" s="5"/>
      <c r="AF173" s="5"/>
      <c r="AM173" s="23"/>
      <c r="AP173" s="3">
        <f>back!B97</f>
        <v>0</v>
      </c>
    </row>
    <row r="174" spans="1:42" x14ac:dyDescent="0.2">
      <c r="A174" s="11"/>
      <c r="B174" s="11"/>
      <c r="D174" s="13"/>
      <c r="Q174" s="13"/>
      <c r="R174" s="13"/>
      <c r="S174" s="13"/>
      <c r="T174" s="13"/>
      <c r="U174" s="64"/>
      <c r="V174" s="64"/>
      <c r="W174" s="5"/>
      <c r="X174" s="5"/>
      <c r="Y174" s="5"/>
      <c r="Z174" s="5"/>
      <c r="AA174" s="5"/>
      <c r="AB174" s="5"/>
      <c r="AC174" s="5"/>
      <c r="AD174" s="5"/>
      <c r="AE174" s="5"/>
      <c r="AF174" s="5"/>
      <c r="AM174" s="23"/>
      <c r="AP174" s="3">
        <f>back!B98</f>
        <v>0</v>
      </c>
    </row>
    <row r="175" spans="1:42" x14ac:dyDescent="0.2">
      <c r="A175" s="11"/>
      <c r="B175" s="11"/>
      <c r="C175" s="13"/>
      <c r="D175" s="13"/>
      <c r="F175" s="13"/>
      <c r="G175" s="13"/>
      <c r="H175" s="13"/>
      <c r="I175" s="64"/>
      <c r="J175" s="64"/>
      <c r="K175" s="5"/>
      <c r="M175" s="5"/>
      <c r="N175" s="13"/>
      <c r="P175" s="5"/>
      <c r="Q175" s="5"/>
      <c r="R175" s="5"/>
      <c r="S175" s="5"/>
      <c r="T175" s="5"/>
      <c r="U175" s="5"/>
      <c r="V175" s="5"/>
      <c r="W175" s="5"/>
      <c r="X175" s="5"/>
      <c r="Y175" s="5"/>
      <c r="Z175" s="5"/>
      <c r="AA175" s="5"/>
      <c r="AB175" s="5"/>
      <c r="AC175" s="5"/>
      <c r="AD175" s="5"/>
      <c r="AE175" s="5"/>
      <c r="AF175" s="5"/>
      <c r="AM175" s="23"/>
      <c r="AP175" s="3">
        <f>back!B99</f>
        <v>0</v>
      </c>
    </row>
    <row r="176" spans="1:42" x14ac:dyDescent="0.2">
      <c r="A176" s="11"/>
      <c r="B176" s="20"/>
      <c r="C176" s="21" t="s">
        <v>150</v>
      </c>
      <c r="D176" s="5"/>
      <c r="F176" s="5"/>
      <c r="G176" s="5"/>
      <c r="H176" s="5"/>
      <c r="I176" s="5"/>
      <c r="J176" s="5"/>
      <c r="K176" s="5"/>
      <c r="M176" s="5"/>
      <c r="N176" s="13"/>
      <c r="P176" s="5"/>
      <c r="Q176" s="5"/>
      <c r="R176" s="5"/>
      <c r="S176" s="5"/>
      <c r="T176" s="5"/>
      <c r="U176" s="5"/>
      <c r="V176" s="5"/>
      <c r="W176" s="5"/>
      <c r="X176" s="5"/>
      <c r="Y176" s="5"/>
      <c r="Z176" s="5"/>
      <c r="AA176" s="5"/>
      <c r="AB176" s="5"/>
      <c r="AC176" s="5"/>
      <c r="AD176" s="5"/>
      <c r="AE176" s="5"/>
      <c r="AF176" s="5"/>
      <c r="AM176" s="23"/>
      <c r="AP176" s="3">
        <f>back!B100</f>
        <v>0</v>
      </c>
    </row>
    <row r="177" spans="1:42" x14ac:dyDescent="0.2">
      <c r="A177" s="11"/>
      <c r="B177" s="36"/>
      <c r="C177" s="38" t="s">
        <v>25</v>
      </c>
      <c r="D177" s="27"/>
      <c r="E177" s="39" t="str">
        <f>IF(D177&lt;&gt;"","Please check the ‘+’ icon to the left and provide the necessary information","")</f>
        <v/>
      </c>
      <c r="F177" s="39"/>
      <c r="G177" s="39"/>
      <c r="H177" s="39"/>
      <c r="I177" s="37"/>
      <c r="J177" s="37"/>
      <c r="L177" s="13"/>
      <c r="M177" s="37"/>
      <c r="N177" s="37"/>
      <c r="O177" s="37"/>
      <c r="P177" s="37"/>
      <c r="Q177" s="37"/>
      <c r="R177" s="37"/>
      <c r="S177" s="37"/>
      <c r="T177" s="37"/>
      <c r="U177" s="37"/>
      <c r="V177" s="40"/>
      <c r="W177" s="37"/>
      <c r="X177" s="37"/>
      <c r="Y177" s="37"/>
      <c r="Z177" s="37"/>
      <c r="AA177" s="37"/>
      <c r="AB177" s="37"/>
      <c r="AC177" s="37"/>
      <c r="AD177" s="37"/>
      <c r="AE177" s="5"/>
      <c r="AF177" s="5"/>
      <c r="AM177" s="23"/>
      <c r="AP177" s="3">
        <f>back!B101</f>
        <v>0</v>
      </c>
    </row>
    <row r="178" spans="1:42" x14ac:dyDescent="0.2">
      <c r="A178" s="11"/>
      <c r="B178" s="36"/>
      <c r="C178" s="38" t="s">
        <v>27</v>
      </c>
      <c r="D178" s="28" t="s">
        <v>9</v>
      </c>
      <c r="E178" s="41"/>
      <c r="F178" s="42"/>
      <c r="G178" s="42"/>
      <c r="H178" s="42"/>
      <c r="I178" s="37"/>
      <c r="J178" s="37"/>
      <c r="L178" s="13"/>
      <c r="M178" s="37"/>
      <c r="N178" s="37"/>
      <c r="O178" s="37"/>
      <c r="P178" s="37"/>
      <c r="Q178" s="37"/>
      <c r="R178" s="37"/>
      <c r="S178" s="37"/>
      <c r="T178" s="37"/>
      <c r="U178" s="37"/>
      <c r="V178" s="37"/>
      <c r="W178" s="37"/>
      <c r="X178" s="37"/>
      <c r="Y178" s="37"/>
      <c r="Z178" s="37"/>
      <c r="AA178" s="37"/>
      <c r="AB178" s="37"/>
      <c r="AC178" s="37"/>
      <c r="AD178" s="37"/>
      <c r="AE178" s="5"/>
      <c r="AF178" s="5"/>
      <c r="AM178" s="23"/>
      <c r="AO178" s="3">
        <f>back!C199</f>
        <v>0</v>
      </c>
      <c r="AP178" s="3">
        <f>back!B102</f>
        <v>0</v>
      </c>
    </row>
    <row r="179" spans="1:42" x14ac:dyDescent="0.2">
      <c r="A179" s="11"/>
      <c r="B179" s="11"/>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M179" s="23"/>
      <c r="AP179" s="3">
        <f>back!B103</f>
        <v>0</v>
      </c>
    </row>
    <row r="180" spans="1:42" x14ac:dyDescent="0.2">
      <c r="A180" s="11"/>
      <c r="B180" s="11"/>
      <c r="C180" s="13" t="s">
        <v>151</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G180" s="5"/>
      <c r="AH180" s="5"/>
      <c r="AI180" s="5"/>
      <c r="AK180" s="5"/>
      <c r="AL180" s="5"/>
      <c r="AM180" s="23"/>
      <c r="AN180" s="37"/>
      <c r="AP180" s="3">
        <f>back!B104</f>
        <v>0</v>
      </c>
    </row>
    <row r="181" spans="1:42" x14ac:dyDescent="0.2">
      <c r="A181" s="11"/>
      <c r="B181" s="11"/>
      <c r="C181" s="64"/>
      <c r="D181" s="5"/>
      <c r="E181" s="5"/>
      <c r="F181" s="5"/>
      <c r="G181" s="5"/>
      <c r="H181" s="5"/>
      <c r="I181" s="5"/>
      <c r="J181" s="5"/>
      <c r="K181" s="5"/>
      <c r="L181" s="5"/>
      <c r="M181" s="5"/>
      <c r="N181" s="5"/>
      <c r="O181" s="5"/>
      <c r="P181" s="5" t="s">
        <v>138</v>
      </c>
      <c r="Q181" s="5"/>
      <c r="R181" s="5"/>
      <c r="S181" s="5"/>
      <c r="T181" s="5"/>
      <c r="U181" s="5" t="s">
        <v>139</v>
      </c>
      <c r="V181" s="5"/>
      <c r="W181" s="5"/>
      <c r="X181" s="5"/>
      <c r="Y181" s="5"/>
      <c r="Z181" s="5"/>
      <c r="AA181" s="5"/>
      <c r="AB181" s="5"/>
      <c r="AC181" s="5"/>
      <c r="AD181" s="5"/>
      <c r="AG181" s="5"/>
      <c r="AH181" s="5"/>
      <c r="AI181" s="5"/>
      <c r="AK181" s="5"/>
      <c r="AL181" s="5"/>
      <c r="AM181" s="123"/>
      <c r="AN181" s="37"/>
      <c r="AP181" s="3">
        <f>back!B105</f>
        <v>0</v>
      </c>
    </row>
    <row r="182" spans="1:42" x14ac:dyDescent="0.2">
      <c r="A182" s="11"/>
      <c r="B182" s="11"/>
      <c r="C182" s="5" t="s">
        <v>152</v>
      </c>
      <c r="D182" s="5"/>
      <c r="E182" s="5"/>
      <c r="F182" s="5"/>
      <c r="G182" s="5"/>
      <c r="H182" s="5"/>
      <c r="I182" s="5"/>
      <c r="J182" s="5"/>
      <c r="K182" s="5"/>
      <c r="L182" s="5"/>
      <c r="M182" s="5"/>
      <c r="N182" s="5"/>
      <c r="O182" s="5"/>
      <c r="P182" s="130"/>
      <c r="Q182" s="131"/>
      <c r="R182" s="131"/>
      <c r="S182" s="132"/>
      <c r="T182" s="5"/>
      <c r="U182" s="130"/>
      <c r="V182" s="131"/>
      <c r="W182" s="131"/>
      <c r="X182" s="132"/>
      <c r="Y182" s="5"/>
      <c r="Z182" s="5"/>
      <c r="AA182" s="5"/>
      <c r="AB182" s="5"/>
      <c r="AC182" s="5"/>
      <c r="AD182" s="5"/>
      <c r="AE182" s="5"/>
      <c r="AF182" s="5"/>
      <c r="AM182" s="123"/>
      <c r="AP182" s="3">
        <f>back!B106</f>
        <v>0</v>
      </c>
    </row>
    <row r="183" spans="1:42" x14ac:dyDescent="0.2">
      <c r="A183" s="11"/>
      <c r="B183" s="11"/>
      <c r="C183" s="13" t="s">
        <v>153</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M183" s="23"/>
      <c r="AP183" s="3">
        <f>back!B107</f>
        <v>0</v>
      </c>
    </row>
    <row r="184" spans="1:42" x14ac:dyDescent="0.2">
      <c r="A184" s="11"/>
      <c r="B184" s="11"/>
      <c r="C184" s="13"/>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M184" s="23"/>
      <c r="AP184" s="3">
        <f>back!B108</f>
        <v>0</v>
      </c>
    </row>
    <row r="185" spans="1:42" x14ac:dyDescent="0.2">
      <c r="A185" s="11"/>
      <c r="B185" s="11"/>
      <c r="C185" s="5" t="s">
        <v>154</v>
      </c>
      <c r="D185" s="5"/>
      <c r="E185" s="5"/>
      <c r="F185" s="5"/>
      <c r="G185" s="5"/>
      <c r="H185" s="5"/>
      <c r="I185" s="5"/>
      <c r="J185" s="5"/>
      <c r="K185" s="5"/>
      <c r="L185" s="5"/>
      <c r="M185" s="5"/>
      <c r="N185" s="5"/>
      <c r="O185" s="5"/>
      <c r="P185" s="130"/>
      <c r="Q185" s="131"/>
      <c r="R185" s="131"/>
      <c r="S185" s="132"/>
      <c r="T185" s="5"/>
      <c r="U185" s="130"/>
      <c r="V185" s="131"/>
      <c r="W185" s="131"/>
      <c r="X185" s="132"/>
      <c r="Y185" s="5"/>
      <c r="Z185" s="5"/>
      <c r="AA185" s="5"/>
      <c r="AB185" s="5"/>
      <c r="AC185" s="5"/>
      <c r="AD185" s="5"/>
      <c r="AE185" s="5"/>
      <c r="AF185" s="5"/>
      <c r="AM185" s="123"/>
      <c r="AP185" s="3">
        <f>back!B109</f>
        <v>0</v>
      </c>
    </row>
    <row r="186" spans="1:42" x14ac:dyDescent="0.2">
      <c r="A186" s="11"/>
      <c r="B186" s="11"/>
      <c r="C186" s="13" t="s">
        <v>155</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M186" s="23"/>
      <c r="AP186" s="3">
        <f>back!B110</f>
        <v>0</v>
      </c>
    </row>
    <row r="187" spans="1:42" x14ac:dyDescent="0.2">
      <c r="A187" s="11"/>
      <c r="B187" s="11"/>
      <c r="C187" s="13"/>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M187" s="23"/>
      <c r="AP187" s="3">
        <f>back!B111</f>
        <v>0</v>
      </c>
    </row>
    <row r="188" spans="1:42" x14ac:dyDescent="0.2">
      <c r="A188" s="11"/>
      <c r="B188" s="11"/>
      <c r="C188" s="5" t="s">
        <v>156</v>
      </c>
      <c r="D188" s="5"/>
      <c r="E188" s="5"/>
      <c r="F188" s="5"/>
      <c r="G188" s="5"/>
      <c r="H188" s="5"/>
      <c r="I188" s="5"/>
      <c r="J188" s="5"/>
      <c r="K188" s="5"/>
      <c r="L188" s="5"/>
      <c r="M188" s="5"/>
      <c r="N188" s="5"/>
      <c r="O188" s="5"/>
      <c r="P188" s="130"/>
      <c r="Q188" s="131"/>
      <c r="R188" s="131"/>
      <c r="S188" s="132"/>
      <c r="T188" s="5"/>
      <c r="U188" s="130"/>
      <c r="V188" s="131"/>
      <c r="W188" s="131"/>
      <c r="X188" s="132"/>
      <c r="Y188" s="5"/>
      <c r="Z188" s="5"/>
      <c r="AA188" s="5"/>
      <c r="AB188" s="5"/>
      <c r="AC188" s="5"/>
      <c r="AD188" s="5"/>
      <c r="AE188" s="5"/>
      <c r="AF188" s="5"/>
      <c r="AM188" s="123"/>
      <c r="AP188" s="3">
        <f>back!B112</f>
        <v>0</v>
      </c>
    </row>
    <row r="189" spans="1:42" x14ac:dyDescent="0.2">
      <c r="A189" s="11"/>
      <c r="B189" s="11"/>
      <c r="C189" s="13" t="s">
        <v>157</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M189" s="23"/>
      <c r="AP189" s="3">
        <f>back!B113</f>
        <v>0</v>
      </c>
    </row>
    <row r="190" spans="1:42" x14ac:dyDescent="0.2">
      <c r="A190" s="11"/>
      <c r="B190" s="11"/>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M190" s="23"/>
      <c r="AP190" s="3">
        <f>back!B114</f>
        <v>0</v>
      </c>
    </row>
    <row r="191" spans="1:42" x14ac:dyDescent="0.2">
      <c r="A191" s="11"/>
      <c r="B191" s="11"/>
      <c r="C191" s="5" t="s">
        <v>158</v>
      </c>
      <c r="D191" s="5"/>
      <c r="E191" s="5"/>
      <c r="F191" s="5"/>
      <c r="G191" s="5"/>
      <c r="H191" s="5"/>
      <c r="I191" s="5"/>
      <c r="J191" s="5"/>
      <c r="K191" s="5"/>
      <c r="L191" s="5"/>
      <c r="M191" s="5"/>
      <c r="N191" s="5"/>
      <c r="O191" s="5"/>
      <c r="P191" s="130"/>
      <c r="Q191" s="131"/>
      <c r="R191" s="131"/>
      <c r="S191" s="132"/>
      <c r="T191" s="5"/>
      <c r="U191" s="130"/>
      <c r="V191" s="131"/>
      <c r="W191" s="131"/>
      <c r="X191" s="132"/>
      <c r="Y191" s="5"/>
      <c r="Z191" s="5"/>
      <c r="AA191" s="5"/>
      <c r="AB191" s="5"/>
      <c r="AC191" s="5"/>
      <c r="AD191" s="5"/>
      <c r="AE191" s="5"/>
      <c r="AF191" s="5"/>
      <c r="AM191" s="23"/>
      <c r="AP191" s="3">
        <f>back!B115</f>
        <v>0</v>
      </c>
    </row>
    <row r="192" spans="1:42" x14ac:dyDescent="0.2">
      <c r="A192" s="11"/>
      <c r="B192" s="11"/>
      <c r="C192" s="13" t="s">
        <v>159</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M192" s="23"/>
      <c r="AP192" s="3">
        <f>back!B116</f>
        <v>0</v>
      </c>
    </row>
    <row r="193" spans="1:42" x14ac:dyDescent="0.2">
      <c r="A193" s="11"/>
      <c r="B193" s="11"/>
      <c r="C193" s="13"/>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M193" s="23"/>
      <c r="AP193" s="3">
        <f>back!B117</f>
        <v>0</v>
      </c>
    </row>
    <row r="194" spans="1:42" x14ac:dyDescent="0.2">
      <c r="A194" s="11"/>
      <c r="B194" s="11"/>
      <c r="C194" s="64"/>
      <c r="D194" s="5"/>
      <c r="E194" s="5"/>
      <c r="F194" s="5"/>
      <c r="G194" s="5"/>
      <c r="H194" s="5"/>
      <c r="I194" s="5"/>
      <c r="J194" s="5"/>
      <c r="K194" s="5"/>
      <c r="L194" s="5"/>
      <c r="M194" s="5"/>
      <c r="N194" s="5"/>
      <c r="O194" s="5"/>
      <c r="P194" s="5" t="s">
        <v>141</v>
      </c>
      <c r="R194" s="5"/>
      <c r="S194" s="5"/>
      <c r="T194" s="5"/>
      <c r="U194" s="5"/>
      <c r="V194" s="5"/>
      <c r="W194" s="5"/>
      <c r="X194" s="5"/>
      <c r="Y194" s="5"/>
      <c r="Z194" s="5" t="s">
        <v>139</v>
      </c>
      <c r="AA194" s="5"/>
      <c r="AB194" s="5"/>
      <c r="AC194" s="5"/>
      <c r="AD194" s="5"/>
      <c r="AE194" s="5"/>
      <c r="AF194" s="5"/>
      <c r="AM194" s="123"/>
      <c r="AP194" s="3">
        <f>back!B118</f>
        <v>0</v>
      </c>
    </row>
    <row r="195" spans="1:42" x14ac:dyDescent="0.2">
      <c r="A195" s="11"/>
      <c r="B195" s="11"/>
      <c r="C195" s="5" t="s">
        <v>160</v>
      </c>
      <c r="D195" s="5"/>
      <c r="E195" s="5"/>
      <c r="F195" s="5"/>
      <c r="G195" s="5"/>
      <c r="H195" s="5"/>
      <c r="I195" s="5"/>
      <c r="J195" s="5"/>
      <c r="K195" s="5"/>
      <c r="L195" s="5"/>
      <c r="M195" s="5"/>
      <c r="N195" s="5"/>
      <c r="P195" s="127"/>
      <c r="Q195" s="127"/>
      <c r="R195" s="127"/>
      <c r="S195" s="127"/>
      <c r="T195" s="127"/>
      <c r="U195" s="127"/>
      <c r="V195" s="127"/>
      <c r="W195" s="127"/>
      <c r="X195" s="127"/>
      <c r="Y195" s="67" t="s">
        <v>143</v>
      </c>
      <c r="Z195" s="128"/>
      <c r="AA195" s="5"/>
      <c r="AB195" s="5"/>
      <c r="AC195" s="5"/>
      <c r="AD195" s="5"/>
      <c r="AE195" s="5"/>
      <c r="AF195" s="5"/>
      <c r="AM195" s="123"/>
      <c r="AP195" s="3">
        <f>back!B119</f>
        <v>0</v>
      </c>
    </row>
    <row r="196" spans="1:42" x14ac:dyDescent="0.2">
      <c r="A196" s="11"/>
      <c r="B196" s="11"/>
      <c r="C196" s="64" t="s">
        <v>161</v>
      </c>
      <c r="D196" s="64" t="s">
        <v>162</v>
      </c>
      <c r="E196" s="5"/>
      <c r="F196" s="5"/>
      <c r="G196" s="5"/>
      <c r="H196" s="5"/>
      <c r="I196" s="5"/>
      <c r="J196" s="5"/>
      <c r="K196" s="5"/>
      <c r="L196" s="5"/>
      <c r="M196" s="5"/>
      <c r="N196" s="5"/>
      <c r="O196" s="5"/>
      <c r="AA196" s="5"/>
      <c r="AB196" s="5"/>
      <c r="AC196" s="5"/>
      <c r="AD196" s="5"/>
      <c r="AE196" s="5"/>
      <c r="AF196" s="5"/>
      <c r="AG196" s="5"/>
      <c r="AH196" s="5"/>
      <c r="AI196" s="5"/>
      <c r="AJ196" s="5"/>
      <c r="AK196" s="5"/>
      <c r="AM196" s="123"/>
      <c r="AP196" s="3">
        <f>back!B120</f>
        <v>0</v>
      </c>
    </row>
    <row r="197" spans="1:42" x14ac:dyDescent="0.2">
      <c r="A197" s="11"/>
      <c r="B197" s="11"/>
      <c r="C197" s="64"/>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M197" s="123"/>
      <c r="AP197" s="3">
        <f>back!B121</f>
        <v>0</v>
      </c>
    </row>
    <row r="198" spans="1:42" x14ac:dyDescent="0.2">
      <c r="A198" s="11"/>
      <c r="B198" s="11"/>
      <c r="C198" s="5" t="s">
        <v>163</v>
      </c>
      <c r="D198" s="5"/>
      <c r="E198" s="5"/>
      <c r="F198" s="5"/>
      <c r="G198" s="5"/>
      <c r="H198" s="5"/>
      <c r="I198" s="5"/>
      <c r="J198" s="5"/>
      <c r="K198" s="5"/>
      <c r="L198" s="5"/>
      <c r="M198" s="5"/>
      <c r="N198" s="5"/>
      <c r="O198" s="5"/>
      <c r="P198" s="127"/>
      <c r="Q198" s="127"/>
      <c r="R198" s="127"/>
      <c r="S198" s="127"/>
      <c r="T198" s="127"/>
      <c r="U198" s="127"/>
      <c r="V198" s="127"/>
      <c r="W198" s="127"/>
      <c r="X198" s="127"/>
      <c r="Y198" s="67" t="s">
        <v>143</v>
      </c>
      <c r="Z198" s="128"/>
      <c r="AA198" s="5"/>
      <c r="AB198" s="5"/>
      <c r="AC198" s="5"/>
      <c r="AD198" s="5"/>
      <c r="AE198" s="5"/>
      <c r="AF198" s="5"/>
      <c r="AG198" s="5"/>
      <c r="AH198" s="5"/>
      <c r="AI198" s="5"/>
      <c r="AJ198" s="5"/>
      <c r="AK198" s="5"/>
      <c r="AM198" s="123"/>
      <c r="AP198" s="3">
        <f>back!B122</f>
        <v>0</v>
      </c>
    </row>
    <row r="199" spans="1:42" x14ac:dyDescent="0.2">
      <c r="A199" s="11"/>
      <c r="B199" s="11"/>
      <c r="C199" s="64" t="s">
        <v>161</v>
      </c>
      <c r="D199" s="64" t="s">
        <v>164</v>
      </c>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M199" s="123"/>
      <c r="AP199" s="3">
        <f>back!B123</f>
        <v>0</v>
      </c>
    </row>
    <row r="200" spans="1:42" x14ac:dyDescent="0.2">
      <c r="A200" s="11"/>
      <c r="B200" s="11"/>
      <c r="C200" s="64"/>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M200" s="123"/>
      <c r="AP200" s="3">
        <f>back!B124</f>
        <v>0</v>
      </c>
    </row>
    <row r="201" spans="1:42" x14ac:dyDescent="0.2">
      <c r="A201" s="11"/>
      <c r="B201" s="11"/>
      <c r="C201" s="5" t="s">
        <v>160</v>
      </c>
      <c r="D201" s="5"/>
      <c r="E201" s="5"/>
      <c r="F201" s="5"/>
      <c r="G201" s="5"/>
      <c r="H201" s="5"/>
      <c r="I201" s="5"/>
      <c r="J201" s="5"/>
      <c r="K201" s="5"/>
      <c r="L201" s="5"/>
      <c r="M201" s="5"/>
      <c r="N201" s="5"/>
      <c r="O201" s="5"/>
      <c r="P201" s="127"/>
      <c r="Q201" s="127"/>
      <c r="R201" s="127"/>
      <c r="S201" s="127"/>
      <c r="T201" s="127"/>
      <c r="U201" s="127"/>
      <c r="V201" s="127"/>
      <c r="W201" s="127"/>
      <c r="X201" s="127"/>
      <c r="Y201" s="67" t="s">
        <v>143</v>
      </c>
      <c r="Z201" s="128"/>
      <c r="AA201" s="5"/>
      <c r="AB201" s="5"/>
      <c r="AC201" s="5"/>
      <c r="AD201" s="5"/>
      <c r="AE201" s="5"/>
      <c r="AF201" s="5"/>
      <c r="AG201" s="5"/>
      <c r="AH201" s="5"/>
      <c r="AI201" s="5"/>
      <c r="AJ201" s="5"/>
      <c r="AK201" s="5"/>
      <c r="AM201" s="123"/>
      <c r="AP201" s="3">
        <f>back!B125</f>
        <v>0</v>
      </c>
    </row>
    <row r="202" spans="1:42" x14ac:dyDescent="0.2">
      <c r="A202" s="11"/>
      <c r="B202" s="11"/>
      <c r="C202" s="64" t="s">
        <v>161</v>
      </c>
      <c r="D202" s="64" t="s">
        <v>165</v>
      </c>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M202" s="123"/>
      <c r="AP202" s="3">
        <f>back!B126</f>
        <v>0</v>
      </c>
    </row>
    <row r="203" spans="1:42" x14ac:dyDescent="0.2">
      <c r="A203" s="11"/>
      <c r="B203" s="11"/>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M203" s="123"/>
      <c r="AP203" s="3">
        <f>back!B127</f>
        <v>0</v>
      </c>
    </row>
    <row r="204" spans="1:42" x14ac:dyDescent="0.2">
      <c r="A204" s="11"/>
      <c r="B204" s="11"/>
      <c r="C204" s="5" t="s">
        <v>166</v>
      </c>
      <c r="E204" s="5"/>
      <c r="F204" s="5"/>
      <c r="G204" s="5"/>
      <c r="H204" s="5"/>
      <c r="I204" s="5"/>
      <c r="J204" s="5"/>
      <c r="K204" s="5"/>
      <c r="L204" s="5"/>
      <c r="M204" s="5"/>
      <c r="N204" s="5"/>
      <c r="O204" s="5"/>
      <c r="P204" s="127"/>
      <c r="Q204" s="127"/>
      <c r="R204" s="127"/>
      <c r="S204" s="127"/>
      <c r="T204" s="127"/>
      <c r="U204" s="127"/>
      <c r="V204" s="127"/>
      <c r="W204" s="127"/>
      <c r="X204" s="127"/>
      <c r="Y204" s="67" t="s">
        <v>143</v>
      </c>
      <c r="Z204" s="128"/>
      <c r="AA204" s="5"/>
      <c r="AB204" s="5"/>
      <c r="AC204" s="5"/>
      <c r="AD204" s="5"/>
      <c r="AE204" s="5"/>
      <c r="AF204" s="5"/>
      <c r="AG204" s="5"/>
      <c r="AH204" s="5"/>
      <c r="AI204" s="5"/>
      <c r="AJ204" s="5"/>
      <c r="AK204" s="5"/>
      <c r="AM204" s="123"/>
      <c r="AP204" s="3">
        <f>back!B128</f>
        <v>0</v>
      </c>
    </row>
    <row r="205" spans="1:42" x14ac:dyDescent="0.2">
      <c r="A205" s="11"/>
      <c r="B205" s="11"/>
      <c r="C205" s="64" t="s">
        <v>161</v>
      </c>
      <c r="D205" s="64" t="s">
        <v>167</v>
      </c>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M205" s="123"/>
      <c r="AP205" s="3">
        <f>back!B129</f>
        <v>0</v>
      </c>
    </row>
    <row r="206" spans="1:42" x14ac:dyDescent="0.2">
      <c r="A206" s="11"/>
      <c r="B206" s="11"/>
      <c r="C206" s="64"/>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G206" s="5"/>
      <c r="AH206" s="5"/>
      <c r="AI206" s="5"/>
      <c r="AK206" s="5"/>
      <c r="AL206" s="5"/>
      <c r="AM206" s="23"/>
      <c r="AN206" s="37"/>
      <c r="AP206" s="3">
        <f>back!B130</f>
        <v>0</v>
      </c>
    </row>
    <row r="207" spans="1:42" x14ac:dyDescent="0.2">
      <c r="A207" s="11"/>
      <c r="B207" s="11"/>
      <c r="C207" s="13"/>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M207" s="23"/>
      <c r="AP207" s="3">
        <f>back!B131</f>
        <v>0</v>
      </c>
    </row>
    <row r="208" spans="1:42" x14ac:dyDescent="0.2">
      <c r="A208" s="11"/>
      <c r="B208" s="11"/>
      <c r="C208" s="13"/>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M208" s="23"/>
      <c r="AP208" s="3">
        <f>back!B132</f>
        <v>0</v>
      </c>
    </row>
    <row r="209" spans="1:42" x14ac:dyDescent="0.2">
      <c r="A209" s="11"/>
      <c r="B209" s="11"/>
      <c r="C209" s="21" t="s">
        <v>168</v>
      </c>
      <c r="D209" s="13"/>
      <c r="E209" s="13"/>
      <c r="F209" s="13"/>
      <c r="G209" s="13"/>
      <c r="H209" s="13"/>
      <c r="I209" s="64"/>
      <c r="J209" s="64"/>
      <c r="K209" s="5"/>
      <c r="L209" s="5"/>
      <c r="M209" s="5"/>
      <c r="N209" s="5"/>
      <c r="O209" s="5"/>
      <c r="P209" s="5"/>
      <c r="Q209" s="5"/>
      <c r="R209" s="5"/>
      <c r="S209" s="5"/>
      <c r="T209" s="5"/>
      <c r="U209" s="5"/>
      <c r="V209" s="5"/>
      <c r="W209" s="5"/>
      <c r="X209" s="5"/>
      <c r="Y209" s="5"/>
      <c r="Z209" s="5"/>
      <c r="AA209" s="5"/>
      <c r="AB209" s="5"/>
      <c r="AC209" s="5"/>
      <c r="AD209" s="5"/>
      <c r="AE209" s="5"/>
      <c r="AF209" s="5"/>
      <c r="AM209" s="23"/>
      <c r="AP209" s="3">
        <f>back!B133</f>
        <v>0</v>
      </c>
    </row>
    <row r="210" spans="1:42" x14ac:dyDescent="0.2">
      <c r="A210" s="11"/>
      <c r="B210" s="11"/>
      <c r="C210" s="13"/>
      <c r="D210" s="27" t="str">
        <f>IF(D40&lt;&gt;"","","x")</f>
        <v>x</v>
      </c>
      <c r="E210" s="5" t="s">
        <v>169</v>
      </c>
      <c r="F210" s="13"/>
      <c r="G210" s="13"/>
      <c r="H210" s="5" t="s">
        <v>135</v>
      </c>
      <c r="I210" s="64"/>
      <c r="J210" s="64"/>
      <c r="M210" s="27" t="s">
        <v>9</v>
      </c>
      <c r="N210" s="5" t="s">
        <v>170</v>
      </c>
      <c r="O210" s="5"/>
      <c r="P210" s="5"/>
      <c r="Q210" s="5" t="s">
        <v>135</v>
      </c>
      <c r="R210" s="5"/>
      <c r="S210" s="5"/>
      <c r="T210" s="5"/>
      <c r="U210" s="5"/>
      <c r="V210" s="5"/>
      <c r="W210" s="5"/>
      <c r="X210" s="5"/>
      <c r="Y210" s="5"/>
      <c r="Z210" s="5"/>
      <c r="AA210" s="5"/>
      <c r="AB210" s="5"/>
      <c r="AC210" s="5"/>
      <c r="AD210" s="5"/>
      <c r="AE210" s="5"/>
      <c r="AF210" s="5"/>
      <c r="AM210" s="23"/>
      <c r="AP210" s="3">
        <f>back!B134</f>
        <v>0</v>
      </c>
    </row>
    <row r="211" spans="1:42" x14ac:dyDescent="0.2">
      <c r="A211" s="11"/>
      <c r="B211" s="11"/>
      <c r="C211" s="13"/>
      <c r="D211" s="28"/>
      <c r="E211" s="5" t="s">
        <v>171</v>
      </c>
      <c r="F211" s="13"/>
      <c r="G211" s="13"/>
      <c r="H211" s="13"/>
      <c r="I211" s="64"/>
      <c r="J211" s="64"/>
      <c r="M211" s="28"/>
      <c r="N211" s="5" t="s">
        <v>172</v>
      </c>
      <c r="O211" s="5"/>
      <c r="P211" s="5"/>
      <c r="R211" s="5"/>
      <c r="S211" s="5"/>
      <c r="T211" s="5"/>
      <c r="U211" s="5"/>
      <c r="V211" s="5"/>
      <c r="W211" s="5"/>
      <c r="X211" s="5"/>
      <c r="Y211" s="5"/>
      <c r="Z211" s="5"/>
      <c r="AA211" s="5"/>
      <c r="AB211" s="5"/>
      <c r="AC211" s="5"/>
      <c r="AD211" s="5"/>
      <c r="AE211" s="5"/>
      <c r="AF211" s="5"/>
      <c r="AM211" s="23"/>
      <c r="AP211" s="3">
        <f>back!B135</f>
        <v>0</v>
      </c>
    </row>
    <row r="212" spans="1:42" x14ac:dyDescent="0.2">
      <c r="A212" s="11"/>
      <c r="B212" s="11"/>
      <c r="C212" s="13"/>
      <c r="D212" s="28"/>
      <c r="E212" s="5" t="s">
        <v>173</v>
      </c>
      <c r="F212" s="13"/>
      <c r="G212" s="13"/>
      <c r="H212" s="13"/>
      <c r="I212" s="64"/>
      <c r="J212" s="64"/>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23"/>
      <c r="AP212" s="3">
        <f>back!B136</f>
        <v>0</v>
      </c>
    </row>
    <row r="213" spans="1:42" x14ac:dyDescent="0.2">
      <c r="A213" s="11"/>
      <c r="B213" s="11"/>
      <c r="C213" s="13"/>
      <c r="D213" s="28"/>
      <c r="E213" s="5" t="s">
        <v>174</v>
      </c>
      <c r="F213" s="13"/>
      <c r="G213" s="13"/>
      <c r="H213" s="13"/>
      <c r="I213" s="64"/>
      <c r="J213" s="64"/>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23"/>
      <c r="AP213" s="3">
        <f>back!B137</f>
        <v>0</v>
      </c>
    </row>
    <row r="214" spans="1:42" x14ac:dyDescent="0.2">
      <c r="A214" s="11"/>
      <c r="B214" s="11"/>
      <c r="C214" s="13"/>
      <c r="D214" s="28" t="str">
        <f>IF(D40&lt;&gt;"","x","")</f>
        <v/>
      </c>
      <c r="E214" s="5" t="s">
        <v>175</v>
      </c>
      <c r="F214" s="13"/>
      <c r="G214" s="13"/>
      <c r="H214" s="13"/>
      <c r="I214" s="64"/>
      <c r="J214" s="64"/>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23"/>
      <c r="AP214" s="3">
        <f>back!B138</f>
        <v>0</v>
      </c>
    </row>
    <row r="215" spans="1:42" x14ac:dyDescent="0.2">
      <c r="A215" s="11"/>
      <c r="B215" s="11"/>
      <c r="C215" s="13"/>
      <c r="D215" s="133"/>
      <c r="E215" s="5" t="s">
        <v>176</v>
      </c>
      <c r="F215" s="13"/>
      <c r="G215" s="13"/>
      <c r="H215" s="13"/>
      <c r="I215" s="64"/>
      <c r="J215" s="64"/>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23"/>
      <c r="AP215" s="3">
        <f>back!B139</f>
        <v>0</v>
      </c>
    </row>
    <row r="216" spans="1:42" x14ac:dyDescent="0.2">
      <c r="A216" s="11"/>
      <c r="B216" s="2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26"/>
      <c r="AP216" s="3">
        <f>back!B140</f>
        <v>0</v>
      </c>
    </row>
    <row r="217" spans="1:42" x14ac:dyDescent="0.2">
      <c r="A217" s="11"/>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14"/>
      <c r="AF217" s="14"/>
      <c r="AM217" s="13"/>
    </row>
    <row r="218" spans="1:42" x14ac:dyDescent="0.2">
      <c r="A218" s="11"/>
      <c r="B218" s="16"/>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5"/>
      <c r="AG218" s="17"/>
      <c r="AH218" s="17"/>
      <c r="AI218" s="17"/>
      <c r="AJ218" s="17"/>
      <c r="AK218" s="17"/>
      <c r="AL218" s="17"/>
      <c r="AM218" s="19"/>
      <c r="AN218" s="37"/>
    </row>
    <row r="219" spans="1:42" x14ac:dyDescent="0.2">
      <c r="A219" s="11"/>
      <c r="B219" s="11"/>
      <c r="C219" s="122" t="s">
        <v>177</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23"/>
      <c r="AN219" s="37"/>
    </row>
    <row r="220" spans="1:42" x14ac:dyDescent="0.2">
      <c r="A220" s="11"/>
      <c r="B220" s="11"/>
      <c r="C220" s="21"/>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23"/>
      <c r="AN220" s="37"/>
    </row>
    <row r="221" spans="1:42" x14ac:dyDescent="0.2">
      <c r="A221" s="11"/>
      <c r="B221" s="11"/>
      <c r="C221" s="134" t="s">
        <v>178</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23"/>
      <c r="AN221" s="37"/>
    </row>
    <row r="222" spans="1:42" x14ac:dyDescent="0.2">
      <c r="A222" s="11"/>
      <c r="B222" s="36"/>
      <c r="C222" s="38" t="s">
        <v>25</v>
      </c>
      <c r="D222" s="27"/>
      <c r="E222" s="39" t="str">
        <f>IF(D222&lt;&gt;"","Please check the ‘+’ icon to the left and provide the necessary information","")</f>
        <v/>
      </c>
      <c r="F222" s="39"/>
      <c r="G222" s="39"/>
      <c r="H222" s="39"/>
      <c r="I222" s="37"/>
      <c r="J222" s="37"/>
      <c r="L222" s="13"/>
      <c r="M222" s="37"/>
      <c r="N222" s="37"/>
      <c r="O222" s="37"/>
      <c r="P222" s="37"/>
      <c r="Q222" s="37"/>
      <c r="R222" s="37"/>
      <c r="S222" s="37"/>
      <c r="T222" s="37"/>
      <c r="U222" s="37"/>
      <c r="V222" s="40"/>
      <c r="W222" s="37"/>
      <c r="X222" s="37"/>
      <c r="Y222" s="37"/>
      <c r="Z222" s="37"/>
      <c r="AA222" s="37"/>
      <c r="AB222" s="37"/>
      <c r="AC222" s="37"/>
      <c r="AD222" s="37"/>
      <c r="AE222" s="5"/>
      <c r="AF222" s="5"/>
      <c r="AM222" s="23"/>
    </row>
    <row r="223" spans="1:42" x14ac:dyDescent="0.2">
      <c r="A223" s="11"/>
      <c r="B223" s="36"/>
      <c r="C223" s="38" t="s">
        <v>27</v>
      </c>
      <c r="D223" s="28" t="s">
        <v>9</v>
      </c>
      <c r="E223" s="41"/>
      <c r="F223" s="42"/>
      <c r="G223" s="42"/>
      <c r="H223" s="42"/>
      <c r="I223" s="37"/>
      <c r="J223" s="37"/>
      <c r="L223" s="13"/>
      <c r="M223" s="37"/>
      <c r="N223" s="37"/>
      <c r="O223" s="37"/>
      <c r="P223" s="37"/>
      <c r="Q223" s="37"/>
      <c r="R223" s="37"/>
      <c r="S223" s="37"/>
      <c r="T223" s="37"/>
      <c r="U223" s="37"/>
      <c r="V223" s="37"/>
      <c r="W223" s="37"/>
      <c r="X223" s="37"/>
      <c r="Y223" s="37"/>
      <c r="Z223" s="37"/>
      <c r="AA223" s="37"/>
      <c r="AB223" s="37"/>
      <c r="AC223" s="37"/>
      <c r="AD223" s="37"/>
      <c r="AE223" s="5"/>
      <c r="AF223" s="5"/>
      <c r="AM223" s="23"/>
    </row>
    <row r="224" spans="1:42" x14ac:dyDescent="0.2">
      <c r="A224" s="11"/>
      <c r="B224" s="11"/>
      <c r="C224" s="5"/>
      <c r="D224" s="5"/>
      <c r="E224" s="31"/>
      <c r="F224" s="61"/>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23"/>
      <c r="AN224" s="37"/>
    </row>
    <row r="225" spans="1:41" x14ac:dyDescent="0.2">
      <c r="A225" s="11"/>
      <c r="B225" s="11"/>
      <c r="C225" s="29" t="s">
        <v>15</v>
      </c>
      <c r="D225" s="5" t="s">
        <v>179</v>
      </c>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M225" s="23"/>
      <c r="AN225" s="37"/>
    </row>
    <row r="226" spans="1:41" x14ac:dyDescent="0.2">
      <c r="A226" s="11"/>
      <c r="B226" s="11"/>
      <c r="C226" s="61"/>
      <c r="D226" s="27"/>
      <c r="E226" s="5" t="s">
        <v>180</v>
      </c>
      <c r="F226" s="5"/>
      <c r="G226" s="5" t="s">
        <v>181</v>
      </c>
      <c r="H226" s="5"/>
      <c r="I226" s="5"/>
      <c r="J226" s="5"/>
      <c r="K226" s="5"/>
      <c r="L226" s="5"/>
      <c r="M226" s="5"/>
      <c r="N226" s="5"/>
      <c r="O226" s="5"/>
      <c r="P226" s="5"/>
      <c r="Q226" s="5"/>
      <c r="R226" s="5"/>
      <c r="S226" s="5"/>
      <c r="T226" s="5"/>
      <c r="U226" s="5"/>
      <c r="V226" s="100" t="str">
        <f>IF(AND(D226&lt;&gt;"",back!C4=5),"Error: not available with MPLS Interconnect for Wholesale VPN","")</f>
        <v/>
      </c>
      <c r="W226" s="5"/>
      <c r="X226" s="5"/>
      <c r="Y226" s="5"/>
      <c r="Z226" s="5"/>
      <c r="AA226" s="5"/>
      <c r="AB226" s="5"/>
      <c r="AC226" s="5"/>
      <c r="AD226" s="5"/>
      <c r="AE226" s="5"/>
      <c r="AF226" s="5"/>
      <c r="AG226" s="5"/>
      <c r="AH226" s="5"/>
      <c r="AI226" s="5"/>
      <c r="AM226" s="23"/>
      <c r="AN226" s="37"/>
    </row>
    <row r="227" spans="1:41" x14ac:dyDescent="0.2">
      <c r="A227" s="11"/>
      <c r="B227" s="11"/>
      <c r="C227" s="61"/>
      <c r="D227" s="28"/>
      <c r="E227" s="5" t="s">
        <v>182</v>
      </c>
      <c r="F227" s="5"/>
      <c r="G227" s="5" t="s">
        <v>183</v>
      </c>
      <c r="H227" s="5"/>
      <c r="I227" s="5"/>
      <c r="J227" s="5"/>
      <c r="K227" s="5"/>
      <c r="L227" s="5"/>
      <c r="M227" s="5"/>
      <c r="N227" s="5"/>
      <c r="O227" s="5"/>
      <c r="P227" s="5"/>
      <c r="Q227" s="5"/>
      <c r="R227" s="5"/>
      <c r="S227" s="5"/>
      <c r="T227" s="5"/>
      <c r="U227" s="5"/>
      <c r="V227" s="100" t="str">
        <f>IF(AND(D227&lt;&gt;"",,back!C4=5),"Error: not available with MPLS Interconnect for Wholesale VPN","")</f>
        <v/>
      </c>
      <c r="W227" s="5"/>
      <c r="X227" s="5"/>
      <c r="Y227" s="5"/>
      <c r="Z227" s="5"/>
      <c r="AA227" s="5"/>
      <c r="AB227" s="5"/>
      <c r="AC227" s="5"/>
      <c r="AD227" s="5"/>
      <c r="AE227" s="5"/>
      <c r="AF227" s="5"/>
      <c r="AG227" s="5"/>
      <c r="AH227" s="5"/>
      <c r="AI227" s="5"/>
      <c r="AM227" s="23"/>
      <c r="AN227" s="37"/>
    </row>
    <row r="228" spans="1:41" x14ac:dyDescent="0.2">
      <c r="A228" s="11"/>
      <c r="B228" s="11"/>
      <c r="C228" s="61"/>
      <c r="D228" s="28"/>
      <c r="E228" s="5" t="s">
        <v>184</v>
      </c>
      <c r="F228" s="5"/>
      <c r="G228" s="5" t="s">
        <v>185</v>
      </c>
      <c r="H228" s="5"/>
      <c r="I228" s="5"/>
      <c r="J228" s="5"/>
      <c r="K228" s="5"/>
      <c r="L228" s="5"/>
      <c r="M228" s="5"/>
      <c r="N228" s="5"/>
      <c r="O228" s="5"/>
      <c r="P228" s="5"/>
      <c r="Q228" s="5"/>
      <c r="R228" s="5"/>
      <c r="S228" s="5"/>
      <c r="T228" s="5"/>
      <c r="U228" s="5"/>
      <c r="V228" s="100" t="str">
        <f>IF(AND(D228&lt;&gt;"",,back!C4=5),"Error: not available with MPLS Interconnect for Wholesale VPN","")</f>
        <v/>
      </c>
      <c r="W228" s="5"/>
      <c r="X228" s="5"/>
      <c r="Y228" s="5"/>
      <c r="Z228" s="5"/>
      <c r="AA228" s="5"/>
      <c r="AB228" s="5"/>
      <c r="AC228" s="5"/>
      <c r="AD228" s="5"/>
      <c r="AE228" s="5"/>
      <c r="AF228" s="5"/>
      <c r="AG228" s="5"/>
      <c r="AH228" s="5"/>
      <c r="AI228" s="5"/>
      <c r="AM228" s="23"/>
      <c r="AN228" s="37"/>
    </row>
    <row r="229" spans="1:41" x14ac:dyDescent="0.2">
      <c r="A229" s="11"/>
      <c r="B229" s="11"/>
      <c r="C229" s="5"/>
      <c r="D229" s="31"/>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M229" s="23"/>
      <c r="AN229" s="37"/>
    </row>
    <row r="230" spans="1:41" x14ac:dyDescent="0.2">
      <c r="A230" s="11"/>
      <c r="B230" s="11"/>
      <c r="C230" s="29" t="s">
        <v>15</v>
      </c>
      <c r="D230" s="61" t="s">
        <v>186</v>
      </c>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M230" s="23"/>
      <c r="AN230" s="37"/>
    </row>
    <row r="231" spans="1:41" x14ac:dyDescent="0.2">
      <c r="A231" s="11"/>
      <c r="B231" s="11"/>
      <c r="C231" s="5"/>
      <c r="D231" s="61" t="s">
        <v>187</v>
      </c>
      <c r="E231" s="5"/>
      <c r="F231" s="5"/>
      <c r="G231" s="5"/>
      <c r="H231" s="5"/>
      <c r="I231" s="27"/>
      <c r="J231" s="5"/>
      <c r="K231" s="27"/>
      <c r="L231" s="5"/>
      <c r="M231" s="27"/>
      <c r="N231" s="5"/>
      <c r="O231" s="27"/>
      <c r="P231" s="5"/>
      <c r="Q231" s="27"/>
      <c r="R231" s="5"/>
      <c r="S231" s="27"/>
      <c r="T231" s="5"/>
      <c r="U231" s="27"/>
      <c r="V231" s="5"/>
      <c r="W231" s="27"/>
      <c r="X231" s="5"/>
      <c r="Y231" s="5"/>
      <c r="Z231" s="5"/>
      <c r="AA231" s="5"/>
      <c r="AB231" s="5"/>
      <c r="AC231" s="5"/>
      <c r="AD231" s="5"/>
      <c r="AE231" s="5"/>
      <c r="AF231" s="5"/>
      <c r="AG231" s="5"/>
      <c r="AH231" s="5"/>
      <c r="AI231" s="5"/>
      <c r="AM231" s="23"/>
      <c r="AN231" s="37"/>
    </row>
    <row r="232" spans="1:41" x14ac:dyDescent="0.2">
      <c r="A232" s="11"/>
      <c r="B232" s="11"/>
      <c r="C232" s="5"/>
      <c r="D232" s="61"/>
      <c r="E232" s="5"/>
      <c r="F232" s="5"/>
      <c r="G232" s="5"/>
      <c r="H232" s="5"/>
      <c r="I232" s="5" t="s">
        <v>188</v>
      </c>
      <c r="J232" s="5"/>
      <c r="K232" s="5" t="s">
        <v>189</v>
      </c>
      <c r="L232" s="5"/>
      <c r="M232" s="5" t="s">
        <v>190</v>
      </c>
      <c r="N232" s="5"/>
      <c r="O232" s="5" t="s">
        <v>191</v>
      </c>
      <c r="P232" s="5"/>
      <c r="Q232" s="5" t="s">
        <v>192</v>
      </c>
      <c r="R232" s="5"/>
      <c r="S232" s="5" t="s">
        <v>192</v>
      </c>
      <c r="T232" s="5"/>
      <c r="U232" s="5" t="s">
        <v>193</v>
      </c>
      <c r="V232" s="5"/>
      <c r="W232" s="5" t="s">
        <v>194</v>
      </c>
      <c r="X232" s="5"/>
      <c r="Y232" s="5"/>
      <c r="Z232" s="5"/>
      <c r="AA232" s="5"/>
      <c r="AB232" s="5"/>
      <c r="AC232" s="5"/>
      <c r="AD232" s="5"/>
      <c r="AE232" s="5"/>
      <c r="AF232" s="5"/>
      <c r="AG232" s="5"/>
      <c r="AH232" s="5"/>
      <c r="AI232" s="5"/>
      <c r="AM232" s="23"/>
      <c r="AN232" s="37"/>
    </row>
    <row r="233" spans="1:41" x14ac:dyDescent="0.2">
      <c r="A233" s="11"/>
      <c r="B233" s="11"/>
      <c r="C233" s="5"/>
      <c r="D233" s="61"/>
      <c r="E233" s="5"/>
      <c r="F233" s="5"/>
      <c r="G233" s="5"/>
      <c r="H233" s="5"/>
      <c r="I233" s="5"/>
      <c r="J233" s="5"/>
      <c r="K233" s="5"/>
      <c r="L233" s="5"/>
      <c r="M233" s="5"/>
      <c r="N233" s="5"/>
      <c r="O233" s="5"/>
      <c r="P233" s="5"/>
      <c r="Q233" s="29" t="s">
        <v>195</v>
      </c>
      <c r="R233" s="5"/>
      <c r="S233" s="5" t="s">
        <v>196</v>
      </c>
      <c r="T233" s="5"/>
      <c r="U233" s="5"/>
      <c r="V233" s="5"/>
      <c r="W233" s="5"/>
      <c r="X233" s="5"/>
      <c r="Y233" s="5"/>
      <c r="Z233" s="5"/>
      <c r="AA233" s="5"/>
      <c r="AB233" s="5"/>
      <c r="AC233" s="5"/>
      <c r="AD233" s="5"/>
      <c r="AE233" s="5"/>
      <c r="AF233" s="5"/>
      <c r="AG233" s="5"/>
      <c r="AH233" s="5"/>
      <c r="AI233" s="5"/>
      <c r="AM233" s="23"/>
      <c r="AN233" s="37"/>
    </row>
    <row r="234" spans="1:41" x14ac:dyDescent="0.2">
      <c r="A234" s="11"/>
      <c r="B234" s="11"/>
      <c r="C234" s="29" t="s">
        <v>15</v>
      </c>
      <c r="D234" s="61" t="s">
        <v>197</v>
      </c>
      <c r="E234" s="5"/>
      <c r="F234" s="5"/>
      <c r="G234" s="5"/>
      <c r="H234" s="5"/>
      <c r="I234" s="5"/>
      <c r="J234" s="5"/>
      <c r="K234" s="5"/>
      <c r="L234" s="5"/>
      <c r="M234" s="5"/>
      <c r="N234" s="70"/>
      <c r="O234" s="70"/>
      <c r="P234" s="70"/>
      <c r="Q234" s="70"/>
      <c r="R234" s="5"/>
      <c r="S234" s="5"/>
      <c r="T234" s="5"/>
      <c r="U234" s="5"/>
      <c r="V234" s="5"/>
      <c r="W234" s="5"/>
      <c r="X234" s="5"/>
      <c r="Y234" s="5"/>
      <c r="Z234" s="5"/>
      <c r="AA234" s="5"/>
      <c r="AB234" s="5"/>
      <c r="AC234" s="5"/>
      <c r="AD234" s="5"/>
      <c r="AE234" s="5"/>
      <c r="AF234" s="5"/>
      <c r="AG234" s="5"/>
      <c r="AH234" s="5"/>
      <c r="AI234" s="5"/>
      <c r="AM234" s="23"/>
      <c r="AN234" s="37"/>
    </row>
    <row r="235" spans="1:41" x14ac:dyDescent="0.2">
      <c r="A235" s="11"/>
      <c r="B235" s="11"/>
      <c r="C235" s="5"/>
      <c r="D235" s="135" t="s">
        <v>198</v>
      </c>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M235" s="23"/>
      <c r="AN235" s="37"/>
    </row>
    <row r="236" spans="1:41" x14ac:dyDescent="0.2">
      <c r="A236" s="11"/>
      <c r="B236" s="11"/>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M236" s="23"/>
      <c r="AN236" s="37"/>
    </row>
    <row r="237" spans="1:41" x14ac:dyDescent="0.2">
      <c r="A237" s="11"/>
      <c r="B237" s="11"/>
      <c r="C237" s="5"/>
      <c r="D237" s="7" t="str">
        <f>IF(OR(D226&lt;&gt;"",D227&lt;&gt;""),"ISDN Line Reference:","No input to provide in case of Fully Inclusive ISDN")</f>
        <v>No input to provide in case of Fully Inclusive ISDN</v>
      </c>
      <c r="E237" s="5"/>
      <c r="F237" s="5"/>
      <c r="G237" s="5"/>
      <c r="H237" s="5"/>
      <c r="I237" s="5"/>
      <c r="J237" s="5"/>
      <c r="K237" s="5"/>
      <c r="L237" s="5"/>
      <c r="M237" s="5"/>
      <c r="N237" s="136"/>
      <c r="O237" s="136"/>
      <c r="P237" s="136"/>
      <c r="Q237" s="136"/>
      <c r="R237" s="136"/>
      <c r="S237" s="136"/>
      <c r="T237" s="136"/>
      <c r="U237" s="5"/>
      <c r="V237" s="5"/>
      <c r="W237" s="5"/>
      <c r="X237" s="5"/>
      <c r="Y237" s="5"/>
      <c r="Z237" s="5"/>
      <c r="AA237" s="5"/>
      <c r="AB237" s="5"/>
      <c r="AC237" s="5"/>
      <c r="AD237" s="5"/>
      <c r="AE237" s="5"/>
      <c r="AF237" s="5"/>
      <c r="AG237" s="5"/>
      <c r="AH237" s="5"/>
      <c r="AI237" s="5"/>
      <c r="AM237" s="23"/>
      <c r="AN237" s="37"/>
    </row>
    <row r="238" spans="1:41" x14ac:dyDescent="0.2">
      <c r="A238" s="11"/>
      <c r="B238" s="11"/>
      <c r="C238" s="5"/>
      <c r="D238" s="7"/>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M238" s="23"/>
      <c r="AN238" s="37"/>
    </row>
    <row r="239" spans="1:41" x14ac:dyDescent="0.2">
      <c r="A239" s="11"/>
      <c r="B239" s="11"/>
      <c r="C239" s="29" t="s">
        <v>15</v>
      </c>
      <c r="D239" s="7" t="s">
        <v>199</v>
      </c>
      <c r="E239" s="5"/>
      <c r="F239" s="5"/>
      <c r="G239" s="5"/>
      <c r="H239" s="5"/>
      <c r="I239" s="5"/>
      <c r="J239" s="5"/>
      <c r="K239" s="5"/>
      <c r="L239" s="5"/>
      <c r="M239" s="5"/>
      <c r="N239" s="5"/>
      <c r="O239" s="5"/>
      <c r="P239" s="5"/>
      <c r="Q239" s="5"/>
      <c r="R239" s="5"/>
      <c r="S239" s="5"/>
      <c r="T239" s="5"/>
      <c r="U239" s="5"/>
      <c r="V239" s="5"/>
      <c r="W239" s="5"/>
      <c r="X239" s="5"/>
      <c r="Y239" s="5"/>
      <c r="Z239" s="5"/>
      <c r="AA239" s="5"/>
      <c r="AB239" s="5"/>
      <c r="AC239" s="136"/>
      <c r="AD239" s="136"/>
      <c r="AE239" s="136"/>
      <c r="AF239" s="136"/>
      <c r="AG239" s="136"/>
      <c r="AH239" s="136"/>
      <c r="AI239" s="136"/>
      <c r="AM239" s="23"/>
      <c r="AN239" s="37"/>
      <c r="AO239" s="137"/>
    </row>
    <row r="240" spans="1:41" x14ac:dyDescent="0.2">
      <c r="A240" s="11"/>
      <c r="B240" s="11"/>
      <c r="C240" s="5"/>
      <c r="D240" s="5"/>
      <c r="E240" s="5"/>
      <c r="F240" s="5"/>
      <c r="G240" s="7"/>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23"/>
      <c r="AN240" s="37"/>
    </row>
    <row r="241" spans="1:41" x14ac:dyDescent="0.2">
      <c r="A241" s="11"/>
      <c r="B241" s="11"/>
      <c r="C241" s="134" t="s">
        <v>200</v>
      </c>
      <c r="D241" s="5"/>
      <c r="F241" s="5"/>
      <c r="G241" s="5"/>
      <c r="H241" s="61"/>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9"/>
      <c r="AN241" s="100"/>
    </row>
    <row r="242" spans="1:41" x14ac:dyDescent="0.2">
      <c r="A242" s="11"/>
      <c r="B242" s="36"/>
      <c r="C242" s="38" t="s">
        <v>25</v>
      </c>
      <c r="D242" s="27"/>
      <c r="E242" s="39" t="str">
        <f>IF(D242&lt;&gt;"","Please check the ‘+’ icon to the left and provide the necessary information","")</f>
        <v/>
      </c>
      <c r="F242" s="39"/>
      <c r="G242" s="39"/>
      <c r="H242" s="39"/>
      <c r="I242" s="37"/>
      <c r="J242" s="37"/>
      <c r="L242" s="13"/>
      <c r="M242" s="37"/>
      <c r="N242" s="37"/>
      <c r="O242" s="37"/>
      <c r="P242" s="37"/>
      <c r="Q242" s="37"/>
      <c r="R242" s="37"/>
      <c r="S242" s="37"/>
      <c r="T242" s="37"/>
      <c r="U242" s="37"/>
      <c r="V242" s="40"/>
      <c r="W242" s="37"/>
      <c r="X242" s="37"/>
      <c r="Y242" s="37"/>
      <c r="Z242" s="37"/>
      <c r="AA242" s="37"/>
      <c r="AB242" s="37"/>
      <c r="AC242" s="37"/>
      <c r="AD242" s="37"/>
      <c r="AE242" s="5"/>
      <c r="AF242" s="5"/>
      <c r="AM242" s="23"/>
    </row>
    <row r="243" spans="1:41" x14ac:dyDescent="0.2">
      <c r="A243" s="11"/>
      <c r="B243" s="36"/>
      <c r="C243" s="38" t="s">
        <v>27</v>
      </c>
      <c r="D243" s="28" t="s">
        <v>9</v>
      </c>
      <c r="E243" s="41"/>
      <c r="F243" s="42"/>
      <c r="G243" s="42"/>
      <c r="H243" s="42"/>
      <c r="I243" s="37"/>
      <c r="J243" s="37"/>
      <c r="L243" s="13"/>
      <c r="M243" s="37"/>
      <c r="N243" s="37"/>
      <c r="O243" s="37"/>
      <c r="P243" s="37"/>
      <c r="Q243" s="37"/>
      <c r="R243" s="37"/>
      <c r="S243" s="37"/>
      <c r="T243" s="37"/>
      <c r="U243" s="37"/>
      <c r="V243" s="37"/>
      <c r="W243" s="37"/>
      <c r="X243" s="37"/>
      <c r="Y243" s="37"/>
      <c r="Z243" s="37"/>
      <c r="AA243" s="37"/>
      <c r="AB243" s="37"/>
      <c r="AC243" s="37"/>
      <c r="AD243" s="37"/>
      <c r="AE243" s="5"/>
      <c r="AF243" s="5"/>
      <c r="AM243" s="23"/>
      <c r="AO243" s="3" t="str">
        <f>back!C285</f>
        <v>ULL</v>
      </c>
    </row>
    <row r="244" spans="1:41" x14ac:dyDescent="0.2">
      <c r="A244" s="11"/>
      <c r="B244" s="11"/>
      <c r="C244" s="5"/>
      <c r="D244" s="5"/>
      <c r="E244" s="31"/>
      <c r="F244" s="61"/>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23"/>
      <c r="AN244" s="37"/>
      <c r="AO244" s="3" t="str">
        <f>back!C286</f>
        <v>wDSL</v>
      </c>
    </row>
    <row r="245" spans="1:41" x14ac:dyDescent="0.2">
      <c r="A245" s="11"/>
      <c r="B245" s="11"/>
      <c r="C245" s="29" t="s">
        <v>15</v>
      </c>
      <c r="D245" s="61" t="s">
        <v>201</v>
      </c>
      <c r="E245" s="5"/>
      <c r="F245" s="5"/>
      <c r="G245" s="5"/>
      <c r="H245" s="5"/>
      <c r="I245" s="5"/>
      <c r="J245" s="5"/>
      <c r="K245" s="5"/>
      <c r="L245" s="5"/>
      <c r="M245" s="43"/>
      <c r="N245" s="43"/>
      <c r="O245" s="43"/>
      <c r="P245" s="43"/>
      <c r="Q245" s="43"/>
      <c r="R245" s="43"/>
      <c r="S245" s="43"/>
      <c r="T245" s="43"/>
      <c r="U245" s="37" t="str">
        <f>IF(F159&lt;&gt;"x","ATM based wDSL is not supported in combination with IPv6","")</f>
        <v/>
      </c>
      <c r="V245" s="5"/>
      <c r="W245" s="5"/>
      <c r="X245" s="5"/>
      <c r="Y245" s="5"/>
      <c r="Z245" s="5"/>
      <c r="AA245" s="5"/>
      <c r="AB245" s="5"/>
      <c r="AC245" s="5"/>
      <c r="AD245" s="5"/>
      <c r="AG245" s="5"/>
      <c r="AH245" s="5"/>
      <c r="AI245" s="5"/>
      <c r="AK245" s="5"/>
      <c r="AL245" s="5"/>
      <c r="AM245" s="23"/>
      <c r="AN245" s="37"/>
      <c r="AO245" s="3" t="str">
        <f>back!C296</f>
        <v>2M/2M 1:1 (Belgacom ETHERNET VDSL2 Premium SLA)</v>
      </c>
    </row>
    <row r="246" spans="1:41" x14ac:dyDescent="0.2">
      <c r="A246" s="11"/>
      <c r="B246" s="11"/>
      <c r="C246" s="5"/>
      <c r="D246" s="31"/>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G246" s="5"/>
      <c r="AH246" s="5"/>
      <c r="AI246" s="5"/>
      <c r="AK246" s="5"/>
      <c r="AL246" s="5"/>
      <c r="AM246" s="23"/>
      <c r="AN246" s="37"/>
      <c r="AO246" s="3" t="str">
        <f>back!C297</f>
        <v>4M/4M 1:1 (Belgacom ETHERNET VDSL2 Premium SLA)</v>
      </c>
    </row>
    <row r="247" spans="1:41" x14ac:dyDescent="0.2">
      <c r="A247" s="11"/>
      <c r="B247" s="11"/>
      <c r="C247" s="29" t="s">
        <v>15</v>
      </c>
      <c r="D247" s="61" t="s">
        <v>202</v>
      </c>
      <c r="E247" s="5"/>
      <c r="F247" s="5"/>
      <c r="G247" s="5"/>
      <c r="H247" s="5"/>
      <c r="I247" s="5"/>
      <c r="J247" s="5"/>
      <c r="K247" s="5"/>
      <c r="L247" s="5"/>
      <c r="M247" s="43"/>
      <c r="N247" s="43"/>
      <c r="O247" s="43"/>
      <c r="P247" s="43"/>
      <c r="Q247" s="43"/>
      <c r="R247" s="43"/>
      <c r="S247" s="43"/>
      <c r="T247" s="43"/>
      <c r="U247" s="43"/>
      <c r="V247" s="43"/>
      <c r="W247" s="43"/>
      <c r="X247" s="43"/>
      <c r="Y247" s="43"/>
      <c r="Z247" s="43"/>
      <c r="AA247" s="43"/>
      <c r="AB247" s="43"/>
      <c r="AC247" s="5"/>
      <c r="AD247" s="5"/>
      <c r="AG247" s="5"/>
      <c r="AH247" s="5"/>
      <c r="AI247" s="5"/>
      <c r="AK247" s="5"/>
      <c r="AL247" s="5"/>
      <c r="AM247" s="23"/>
      <c r="AN247" s="37"/>
      <c r="AO247" s="3" t="str">
        <f>back!C298</f>
        <v>6M/6M 1:1 (Belgacom ETHERNET VDSL2 Premium SLA)</v>
      </c>
    </row>
    <row r="248" spans="1:41" x14ac:dyDescent="0.2">
      <c r="A248" s="11"/>
      <c r="B248" s="11"/>
      <c r="C248" s="61"/>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G248" s="5"/>
      <c r="AH248" s="5"/>
      <c r="AI248" s="5"/>
      <c r="AK248" s="5"/>
      <c r="AL248" s="5"/>
      <c r="AM248" s="23"/>
      <c r="AN248" s="37"/>
      <c r="AO248" s="3" t="str">
        <f>back!C299</f>
        <v>8M/8M 1:1 (Belgacom ETHERNET VDSL2 Premium SLA)</v>
      </c>
    </row>
    <row r="249" spans="1:41" x14ac:dyDescent="0.2">
      <c r="A249" s="11"/>
      <c r="B249" s="11"/>
      <c r="C249" s="5" t="str">
        <f>IF(OR(back!E285="1",back!E285="2"),"PCN number"," ")</f>
        <v>PCN number</v>
      </c>
      <c r="D249" s="5"/>
      <c r="E249" s="5"/>
      <c r="F249" s="5"/>
      <c r="G249" s="5"/>
      <c r="H249" s="5"/>
      <c r="I249" s="5"/>
      <c r="J249" s="70"/>
      <c r="K249" s="70"/>
      <c r="L249" s="70"/>
      <c r="M249" s="70"/>
      <c r="N249" s="5"/>
      <c r="O249" s="5"/>
      <c r="P249" s="5"/>
      <c r="Q249" s="5"/>
      <c r="R249" s="5"/>
      <c r="S249" s="5"/>
      <c r="T249" s="5"/>
      <c r="U249" s="5"/>
      <c r="V249" s="5"/>
      <c r="W249" s="5"/>
      <c r="X249" s="5"/>
      <c r="Y249" s="5"/>
      <c r="Z249" s="5"/>
      <c r="AA249" s="5"/>
      <c r="AB249" s="5"/>
      <c r="AC249" s="5"/>
      <c r="AD249" s="5"/>
      <c r="AG249" s="5"/>
      <c r="AH249" s="5"/>
      <c r="AI249" s="5"/>
      <c r="AK249" s="5"/>
      <c r="AL249" s="5"/>
      <c r="AM249" s="23"/>
      <c r="AN249" s="37"/>
      <c r="AO249" s="3" t="str">
        <f>back!C300</f>
        <v>10M/10M 1:1 (Belgacom ETHERNET VDSL2 Premium SLA)</v>
      </c>
    </row>
    <row r="250" spans="1:41" x14ac:dyDescent="0.2">
      <c r="A250" s="11"/>
      <c r="B250" s="11"/>
      <c r="C250" s="5" t="str">
        <f>IF(OR(back!E285="1",back!E285="2"),"Phone number to check availability"," ")</f>
        <v>Phone number to check availability</v>
      </c>
      <c r="D250" s="5"/>
      <c r="E250" s="5"/>
      <c r="F250" s="5"/>
      <c r="G250" s="5"/>
      <c r="H250" s="5"/>
      <c r="I250" s="5"/>
      <c r="J250" s="76"/>
      <c r="K250" s="76"/>
      <c r="L250" s="76"/>
      <c r="M250" s="76"/>
      <c r="N250" s="5"/>
      <c r="O250" s="5"/>
      <c r="P250" s="5"/>
      <c r="Q250" s="5"/>
      <c r="R250" s="5"/>
      <c r="S250" s="5"/>
      <c r="T250" s="5"/>
      <c r="U250" s="5"/>
      <c r="V250" s="5"/>
      <c r="W250" s="5"/>
      <c r="X250" s="5"/>
      <c r="Y250" s="5"/>
      <c r="Z250" s="5"/>
      <c r="AA250" s="5"/>
      <c r="AB250" s="5"/>
      <c r="AC250" s="5"/>
      <c r="AD250" s="5"/>
      <c r="AG250" s="5"/>
      <c r="AH250" s="5"/>
      <c r="AI250" s="5"/>
      <c r="AK250" s="5"/>
      <c r="AL250" s="5"/>
      <c r="AM250" s="23"/>
      <c r="AN250" s="37"/>
      <c r="AO250" s="3">
        <f>back!C301</f>
        <v>0</v>
      </c>
    </row>
    <row r="251" spans="1:41" x14ac:dyDescent="0.2">
      <c r="A251" s="11"/>
      <c r="B251" s="11"/>
      <c r="C251" s="5" t="str">
        <f>IF(back!C364=0,"",back!C364)</f>
        <v/>
      </c>
      <c r="D251" s="5"/>
      <c r="E251" s="5"/>
      <c r="F251" s="5"/>
      <c r="G251" s="5"/>
      <c r="H251" s="5"/>
      <c r="I251" s="5"/>
      <c r="J251" s="76"/>
      <c r="K251" s="76"/>
      <c r="L251" s="76"/>
      <c r="M251" s="76"/>
      <c r="N251" s="5"/>
      <c r="O251" s="5"/>
      <c r="P251" s="5"/>
      <c r="Q251" s="5"/>
      <c r="R251" s="5"/>
      <c r="S251" s="5"/>
      <c r="T251" s="5"/>
      <c r="U251" s="5"/>
      <c r="V251" s="5"/>
      <c r="W251" s="5"/>
      <c r="X251" s="5"/>
      <c r="Y251" s="5"/>
      <c r="Z251" s="5"/>
      <c r="AA251" s="5"/>
      <c r="AB251" s="5"/>
      <c r="AC251" s="5"/>
      <c r="AD251" s="5"/>
      <c r="AG251" s="5"/>
      <c r="AH251" s="5"/>
      <c r="AI251" s="5"/>
      <c r="AK251" s="5"/>
      <c r="AL251" s="5"/>
      <c r="AM251" s="23"/>
      <c r="AN251" s="37"/>
      <c r="AO251" s="3">
        <f>back!C302</f>
        <v>0</v>
      </c>
    </row>
    <row r="252" spans="1:41" x14ac:dyDescent="0.2">
      <c r="A252" s="11"/>
      <c r="B252" s="11"/>
      <c r="C252" s="5" t="str">
        <f>IF(back!C365=0,"",back!C365)</f>
        <v/>
      </c>
      <c r="D252" s="5"/>
      <c r="E252" s="5"/>
      <c r="F252" s="5"/>
      <c r="G252" s="5"/>
      <c r="H252" s="5"/>
      <c r="I252" s="5"/>
      <c r="J252" s="76"/>
      <c r="K252" s="76"/>
      <c r="L252" s="76"/>
      <c r="M252" s="76"/>
      <c r="N252" s="5"/>
      <c r="O252" s="5"/>
      <c r="P252" s="5"/>
      <c r="Q252" s="5"/>
      <c r="R252" s="5"/>
      <c r="S252" s="5"/>
      <c r="T252" s="5"/>
      <c r="U252" s="5"/>
      <c r="V252" s="5"/>
      <c r="W252" s="5"/>
      <c r="X252" s="5"/>
      <c r="Y252" s="5"/>
      <c r="Z252" s="5"/>
      <c r="AA252" s="5"/>
      <c r="AB252" s="5"/>
      <c r="AC252" s="5"/>
      <c r="AD252" s="5"/>
      <c r="AG252" s="5"/>
      <c r="AH252" s="5"/>
      <c r="AI252" s="5"/>
      <c r="AK252" s="5"/>
      <c r="AL252" s="5"/>
      <c r="AM252" s="23"/>
      <c r="AN252" s="37"/>
      <c r="AO252" s="3">
        <f>back!C303</f>
        <v>0</v>
      </c>
    </row>
    <row r="253" spans="1:41" x14ac:dyDescent="0.2">
      <c r="A253" s="11"/>
      <c r="B253" s="11"/>
      <c r="C253" s="5" t="str">
        <f>IF(back!C366=0,"",back!C366)</f>
        <v/>
      </c>
      <c r="D253" s="5"/>
      <c r="E253" s="5"/>
      <c r="F253" s="5"/>
      <c r="G253" s="5"/>
      <c r="H253" s="5"/>
      <c r="I253" s="5"/>
      <c r="J253" s="76"/>
      <c r="K253" s="76"/>
      <c r="L253" s="76"/>
      <c r="M253" s="76"/>
      <c r="N253" s="5"/>
      <c r="O253" s="5"/>
      <c r="P253" s="5"/>
      <c r="Q253" s="5"/>
      <c r="R253" s="5"/>
      <c r="S253" s="5"/>
      <c r="T253" s="5"/>
      <c r="U253" s="5"/>
      <c r="V253" s="5"/>
      <c r="W253" s="5"/>
      <c r="X253" s="5"/>
      <c r="Y253" s="5"/>
      <c r="Z253" s="5"/>
      <c r="AA253" s="5"/>
      <c r="AB253" s="5"/>
      <c r="AC253" s="5"/>
      <c r="AD253" s="5"/>
      <c r="AG253" s="5"/>
      <c r="AH253" s="5"/>
      <c r="AI253" s="5"/>
      <c r="AK253" s="5"/>
      <c r="AL253" s="5"/>
      <c r="AM253" s="23"/>
      <c r="AN253" s="37"/>
      <c r="AO253" s="3">
        <f>back!C304</f>
        <v>0</v>
      </c>
    </row>
    <row r="254" spans="1:41" x14ac:dyDescent="0.2">
      <c r="A254" s="11"/>
      <c r="B254" s="11"/>
      <c r="C254" s="5" t="str">
        <f>IF(back!C367=0,"",back!C367)</f>
        <v/>
      </c>
      <c r="D254" s="5"/>
      <c r="E254" s="5"/>
      <c r="F254" s="5"/>
      <c r="G254" s="5"/>
      <c r="H254" s="5"/>
      <c r="I254" s="5"/>
      <c r="J254" s="76"/>
      <c r="K254" s="76"/>
      <c r="L254" s="76"/>
      <c r="M254" s="76"/>
      <c r="N254" s="5"/>
      <c r="O254" s="5"/>
      <c r="P254" s="5"/>
      <c r="Q254" s="5"/>
      <c r="R254" s="5"/>
      <c r="S254" s="5"/>
      <c r="T254" s="5"/>
      <c r="U254" s="5"/>
      <c r="V254" s="5"/>
      <c r="W254" s="5"/>
      <c r="X254" s="5"/>
      <c r="Y254" s="5"/>
      <c r="Z254" s="5"/>
      <c r="AA254" s="5"/>
      <c r="AB254" s="5"/>
      <c r="AC254" s="5"/>
      <c r="AD254" s="5"/>
      <c r="AG254" s="5"/>
      <c r="AH254" s="5"/>
      <c r="AI254" s="5"/>
      <c r="AK254" s="5"/>
      <c r="AL254" s="5"/>
      <c r="AM254" s="23"/>
      <c r="AN254" s="37"/>
      <c r="AO254" s="3">
        <f>back!C305</f>
        <v>0</v>
      </c>
    </row>
    <row r="255" spans="1:41" x14ac:dyDescent="0.2">
      <c r="A255" s="11"/>
      <c r="B255" s="11"/>
      <c r="C255" s="5" t="str">
        <f>IF(back!C368=0,"",back!C368)</f>
        <v/>
      </c>
      <c r="D255" s="5"/>
      <c r="E255" s="5"/>
      <c r="F255" s="5"/>
      <c r="G255" s="5"/>
      <c r="H255" s="5"/>
      <c r="I255" s="5"/>
      <c r="J255" s="76"/>
      <c r="K255" s="76"/>
      <c r="L255" s="76"/>
      <c r="M255" s="76"/>
      <c r="N255" s="5"/>
      <c r="O255" s="5"/>
      <c r="P255" s="5"/>
      <c r="Q255" s="5"/>
      <c r="R255" s="5"/>
      <c r="S255" s="5"/>
      <c r="T255" s="5"/>
      <c r="U255" s="5"/>
      <c r="V255" s="5"/>
      <c r="W255" s="5"/>
      <c r="X255" s="5"/>
      <c r="Y255" s="5"/>
      <c r="Z255" s="5"/>
      <c r="AA255" s="5"/>
      <c r="AB255" s="5"/>
      <c r="AC255" s="5"/>
      <c r="AD255" s="5"/>
      <c r="AG255" s="5"/>
      <c r="AH255" s="5"/>
      <c r="AI255" s="5"/>
      <c r="AK255" s="5"/>
      <c r="AL255" s="5"/>
      <c r="AM255" s="23"/>
      <c r="AN255" s="37"/>
      <c r="AO255" s="3">
        <f>back!C306</f>
        <v>0</v>
      </c>
    </row>
    <row r="256" spans="1:41" x14ac:dyDescent="0.2">
      <c r="A256" s="11"/>
      <c r="B256" s="11"/>
      <c r="C256" s="5" t="str">
        <f>IF(back!C369=0,"",back!C369)</f>
        <v/>
      </c>
      <c r="D256" s="5"/>
      <c r="E256" s="5"/>
      <c r="F256" s="5"/>
      <c r="G256" s="5"/>
      <c r="H256" s="5"/>
      <c r="I256" s="5"/>
      <c r="J256" s="76"/>
      <c r="K256" s="76"/>
      <c r="L256" s="76"/>
      <c r="M256" s="76"/>
      <c r="N256" s="5"/>
      <c r="O256" s="5"/>
      <c r="P256" s="5"/>
      <c r="Q256" s="5"/>
      <c r="R256" s="5"/>
      <c r="S256" s="5"/>
      <c r="T256" s="5"/>
      <c r="U256" s="5"/>
      <c r="V256" s="5"/>
      <c r="W256" s="5"/>
      <c r="X256" s="5"/>
      <c r="Y256" s="5"/>
      <c r="Z256" s="5"/>
      <c r="AA256" s="5"/>
      <c r="AB256" s="5"/>
      <c r="AC256" s="5"/>
      <c r="AD256" s="5"/>
      <c r="AG256" s="5"/>
      <c r="AH256" s="5"/>
      <c r="AI256" s="5"/>
      <c r="AK256" s="5"/>
      <c r="AL256" s="5"/>
      <c r="AM256" s="23"/>
      <c r="AN256" s="37"/>
      <c r="AO256" s="3">
        <f>back!C307</f>
        <v>0</v>
      </c>
    </row>
    <row r="257" spans="1:41" x14ac:dyDescent="0.2">
      <c r="A257" s="11"/>
      <c r="B257" s="11"/>
      <c r="C257" s="5" t="str">
        <f>IF(back!C370=0,"",back!C370)</f>
        <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G257" s="5"/>
      <c r="AH257" s="5"/>
      <c r="AI257" s="5"/>
      <c r="AK257" s="5"/>
      <c r="AL257" s="5"/>
      <c r="AM257" s="23"/>
      <c r="AN257" s="37"/>
      <c r="AO257" s="3">
        <f>back!C308</f>
        <v>0</v>
      </c>
    </row>
    <row r="258" spans="1:41" x14ac:dyDescent="0.2">
      <c r="A258" s="11"/>
      <c r="B258" s="11"/>
      <c r="C258" s="64" t="s">
        <v>203</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G258" s="5"/>
      <c r="AH258" s="5"/>
      <c r="AI258" s="5"/>
      <c r="AK258" s="5"/>
      <c r="AL258" s="5"/>
      <c r="AM258" s="23"/>
      <c r="AN258" s="37"/>
      <c r="AO258" s="3">
        <f>back!C309</f>
        <v>0</v>
      </c>
    </row>
    <row r="259" spans="1:41" x14ac:dyDescent="0.2">
      <c r="A259" s="11"/>
      <c r="B259" s="11"/>
      <c r="C259" s="5"/>
      <c r="D259" s="5"/>
      <c r="E259" s="31"/>
      <c r="F259" s="64"/>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23"/>
      <c r="AN259" s="37"/>
      <c r="AO259" s="3">
        <f>back!C310</f>
        <v>0</v>
      </c>
    </row>
    <row r="260" spans="1:41" x14ac:dyDescent="0.2">
      <c r="A260" s="11"/>
      <c r="B260" s="11"/>
      <c r="C260" s="134" t="s">
        <v>204</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23"/>
      <c r="AN260" s="37"/>
      <c r="AO260" s="3">
        <f>back!C311</f>
        <v>0</v>
      </c>
    </row>
    <row r="261" spans="1:41" x14ac:dyDescent="0.2">
      <c r="A261" s="11"/>
      <c r="B261" s="36"/>
      <c r="C261" s="38" t="s">
        <v>25</v>
      </c>
      <c r="D261" s="27" t="str">
        <f>IF('New KR'!B100=1,"x","")</f>
        <v/>
      </c>
      <c r="E261" s="39" t="str">
        <f>IF(D261&lt;&gt;"","Please check the ‘+’ icon to the left and provide the necessary information","")</f>
        <v/>
      </c>
      <c r="F261" s="39"/>
      <c r="G261" s="39"/>
      <c r="H261" s="39"/>
      <c r="I261" s="37"/>
      <c r="J261" s="37"/>
      <c r="L261" s="13"/>
      <c r="M261" s="37"/>
      <c r="N261" s="37"/>
      <c r="O261" s="37"/>
      <c r="P261" s="37"/>
      <c r="Q261" s="37"/>
      <c r="R261" s="37"/>
      <c r="S261" s="37"/>
      <c r="T261" s="37"/>
      <c r="U261" s="138" t="str">
        <f>IF('New KR'!B100=1,"Microsoft Azure will always be delivered as Dual Access, Load shared, based on BGP","")</f>
        <v/>
      </c>
      <c r="V261" s="40"/>
      <c r="W261" s="37"/>
      <c r="X261" s="37"/>
      <c r="Y261" s="37"/>
      <c r="Z261" s="37"/>
      <c r="AA261" s="37"/>
      <c r="AB261" s="37"/>
      <c r="AC261" s="37"/>
      <c r="AD261" s="37"/>
      <c r="AE261" s="5"/>
      <c r="AF261" s="5"/>
      <c r="AM261" s="23"/>
      <c r="AO261" s="3">
        <f>back!C312</f>
        <v>0</v>
      </c>
    </row>
    <row r="262" spans="1:41" x14ac:dyDescent="0.2">
      <c r="A262" s="11"/>
      <c r="B262" s="36"/>
      <c r="C262" s="38" t="s">
        <v>27</v>
      </c>
      <c r="D262" s="28" t="str">
        <f>IF('New KR'!B100=1,"","x")</f>
        <v>x</v>
      </c>
      <c r="E262" s="41"/>
      <c r="F262" s="42"/>
      <c r="G262" s="42"/>
      <c r="H262" s="42"/>
      <c r="I262" s="37"/>
      <c r="J262" s="37"/>
      <c r="L262" s="13"/>
      <c r="M262" s="37"/>
      <c r="N262" s="37"/>
      <c r="O262" s="37"/>
      <c r="P262" s="37"/>
      <c r="Q262" s="37"/>
      <c r="R262" s="37"/>
      <c r="S262" s="37"/>
      <c r="T262" s="37"/>
      <c r="U262" s="37"/>
      <c r="V262" s="37"/>
      <c r="W262" s="37"/>
      <c r="X262" s="37"/>
      <c r="Y262" s="37"/>
      <c r="Z262" s="37"/>
      <c r="AA262" s="37"/>
      <c r="AB262" s="37"/>
      <c r="AC262" s="37"/>
      <c r="AD262" s="37"/>
      <c r="AE262" s="5"/>
      <c r="AF262" s="5"/>
      <c r="AM262" s="23"/>
      <c r="AO262" s="3">
        <f>back!C315</f>
        <v>0</v>
      </c>
    </row>
    <row r="263" spans="1:41" x14ac:dyDescent="0.2">
      <c r="A263" s="11"/>
      <c r="B263" s="11"/>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23"/>
      <c r="AN263" s="37"/>
      <c r="AO263" s="3">
        <f>back!C316</f>
        <v>0</v>
      </c>
    </row>
    <row r="264" spans="1:41" x14ac:dyDescent="0.2">
      <c r="A264" s="11"/>
      <c r="B264" s="11"/>
      <c r="C264" s="29" t="s">
        <v>15</v>
      </c>
      <c r="D264" s="5" t="s">
        <v>205</v>
      </c>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H264" s="5"/>
      <c r="AI264" s="5"/>
      <c r="AJ264" s="5"/>
      <c r="AK264" s="5"/>
      <c r="AL264" s="5"/>
      <c r="AM264" s="23"/>
      <c r="AN264" s="37"/>
      <c r="AO264" s="3">
        <f>back!C317</f>
        <v>0</v>
      </c>
    </row>
    <row r="265" spans="1:41" x14ac:dyDescent="0.2">
      <c r="A265" s="11"/>
      <c r="B265" s="11"/>
      <c r="C265" s="5"/>
      <c r="D265" s="27"/>
      <c r="E265" s="5" t="s">
        <v>206</v>
      </c>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H265" s="5"/>
      <c r="AI265" s="5"/>
      <c r="AJ265" s="5"/>
      <c r="AK265" s="5"/>
      <c r="AL265" s="5"/>
      <c r="AM265" s="23"/>
      <c r="AN265" s="37"/>
      <c r="AO265" s="3">
        <f>back!C318</f>
        <v>0</v>
      </c>
    </row>
    <row r="266" spans="1:41" x14ac:dyDescent="0.2">
      <c r="A266" s="11"/>
      <c r="B266" s="11"/>
      <c r="C266" s="5"/>
      <c r="D266" s="28" t="str">
        <f>IF('New KR'!B100=1,"x","")</f>
        <v/>
      </c>
      <c r="E266" s="5" t="s">
        <v>207</v>
      </c>
      <c r="F266" s="5"/>
      <c r="G266" s="5"/>
      <c r="H266" s="39"/>
      <c r="I266" s="5"/>
      <c r="J266" s="37" t="str">
        <f>IF(D266&lt;&gt;"",IF(OR(F164&lt;&gt;"",F165&lt;&gt;""),"* not available for IPv6","Please check the ‘+’ icon to the left and provide the necessary information"),"")</f>
        <v/>
      </c>
      <c r="K266" s="5"/>
      <c r="L266" s="5"/>
      <c r="M266" s="5"/>
      <c r="N266" s="5"/>
      <c r="O266" s="5"/>
      <c r="P266" s="5"/>
      <c r="Q266" s="5"/>
      <c r="S266" s="5"/>
      <c r="T266" s="5"/>
      <c r="U266" s="5"/>
      <c r="V266" s="5"/>
      <c r="W266" s="5"/>
      <c r="X266" s="5"/>
      <c r="Y266" s="5"/>
      <c r="Z266" s="5"/>
      <c r="AA266" s="5"/>
      <c r="AB266" s="5"/>
      <c r="AC266" s="5"/>
      <c r="AD266" s="5"/>
      <c r="AH266" s="5"/>
      <c r="AI266" s="5"/>
      <c r="AJ266" s="5"/>
      <c r="AK266" s="5"/>
      <c r="AL266" s="5"/>
      <c r="AM266" s="23"/>
      <c r="AN266" s="37"/>
      <c r="AO266" s="3">
        <f>back!C319</f>
        <v>0</v>
      </c>
    </row>
    <row r="267" spans="1:41" x14ac:dyDescent="0.2">
      <c r="A267" s="11"/>
      <c r="B267" s="11"/>
      <c r="C267" s="5"/>
      <c r="D267" s="61"/>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H267" s="5"/>
      <c r="AI267" s="5"/>
      <c r="AJ267" s="5"/>
      <c r="AK267" s="5"/>
      <c r="AL267" s="5"/>
      <c r="AM267" s="23"/>
      <c r="AN267" s="37"/>
      <c r="AO267" s="3">
        <f>back!C320</f>
        <v>0</v>
      </c>
    </row>
    <row r="268" spans="1:41" ht="15" x14ac:dyDescent="0.2">
      <c r="A268" s="11"/>
      <c r="B268" s="11"/>
      <c r="C268" s="5"/>
      <c r="D268" s="29" t="s">
        <v>15</v>
      </c>
      <c r="E268" s="139" t="s">
        <v>208</v>
      </c>
      <c r="F268" s="5"/>
      <c r="G268" s="140"/>
      <c r="H268" s="140"/>
      <c r="I268" s="140"/>
      <c r="J268" s="140"/>
      <c r="K268" s="5"/>
      <c r="L268" s="5"/>
      <c r="M268" s="5"/>
      <c r="N268" s="5"/>
      <c r="O268" s="5"/>
      <c r="P268" s="5"/>
      <c r="Q268" s="5"/>
      <c r="R268" s="141"/>
      <c r="S268" s="5"/>
      <c r="T268" s="5"/>
      <c r="U268" s="5"/>
      <c r="V268" s="5"/>
      <c r="W268" s="5"/>
      <c r="X268" s="5"/>
      <c r="Y268" s="5"/>
      <c r="Z268" s="5"/>
      <c r="AA268" s="5"/>
      <c r="AB268" s="5"/>
      <c r="AC268" s="5"/>
      <c r="AD268" s="5"/>
      <c r="AH268" s="5"/>
      <c r="AI268" s="5"/>
      <c r="AJ268" s="5"/>
      <c r="AK268" s="5"/>
      <c r="AL268" s="5"/>
      <c r="AM268" s="23"/>
      <c r="AN268" s="37"/>
      <c r="AO268" s="3">
        <f>back!C321</f>
        <v>0</v>
      </c>
    </row>
    <row r="269" spans="1:41" x14ac:dyDescent="0.2">
      <c r="A269" s="11"/>
      <c r="B269" s="11"/>
      <c r="C269" s="5"/>
      <c r="D269" s="140"/>
      <c r="E269" s="28" t="str">
        <f>IF('New KR'!B100=1,"x","")</f>
        <v/>
      </c>
      <c r="F269" s="5" t="s">
        <v>209</v>
      </c>
      <c r="G269" s="140"/>
      <c r="H269" s="140"/>
      <c r="I269" s="140"/>
      <c r="J269" s="140"/>
      <c r="K269" s="5"/>
      <c r="L269" s="5"/>
      <c r="M269" s="5"/>
      <c r="N269" s="5"/>
      <c r="O269" s="5"/>
      <c r="P269" s="5"/>
      <c r="Q269" s="5"/>
      <c r="R269" s="5"/>
      <c r="S269" s="5"/>
      <c r="T269" s="5"/>
      <c r="U269" s="5"/>
      <c r="V269" s="5"/>
      <c r="W269" s="5"/>
      <c r="X269" s="5"/>
      <c r="Y269" s="5"/>
      <c r="Z269" s="5"/>
      <c r="AA269" s="5"/>
      <c r="AB269" s="5"/>
      <c r="AC269" s="5"/>
      <c r="AD269" s="5"/>
      <c r="AH269" s="5"/>
      <c r="AI269" s="5"/>
      <c r="AJ269" s="5"/>
      <c r="AK269" s="5"/>
      <c r="AL269" s="5"/>
      <c r="AM269" s="23"/>
      <c r="AN269" s="37"/>
      <c r="AO269" s="3">
        <f>back!C322</f>
        <v>0</v>
      </c>
    </row>
    <row r="270" spans="1:41" x14ac:dyDescent="0.2">
      <c r="A270" s="11"/>
      <c r="B270" s="11"/>
      <c r="C270" s="5"/>
      <c r="D270" s="140"/>
      <c r="E270" s="28"/>
      <c r="F270" s="5" t="s">
        <v>210</v>
      </c>
      <c r="G270" s="140"/>
      <c r="H270" s="39" t="s">
        <v>211</v>
      </c>
      <c r="I270" s="140"/>
      <c r="J270" s="140"/>
      <c r="K270" s="5"/>
      <c r="L270" s="5"/>
      <c r="M270" s="5"/>
      <c r="N270" s="5"/>
      <c r="O270" s="142" t="str">
        <f>IF(E270&lt;&gt;"","SR number:","")</f>
        <v/>
      </c>
      <c r="P270" s="143"/>
      <c r="Q270" s="143"/>
      <c r="R270" s="143"/>
      <c r="S270" s="143"/>
      <c r="T270" s="5"/>
      <c r="U270" s="5"/>
      <c r="V270" s="5"/>
      <c r="W270" s="5"/>
      <c r="X270" s="5"/>
      <c r="Y270" s="5"/>
      <c r="Z270" s="5"/>
      <c r="AA270" s="5"/>
      <c r="AB270" s="5"/>
      <c r="AC270" s="5"/>
      <c r="AD270" s="5"/>
      <c r="AH270" s="5"/>
      <c r="AI270" s="5"/>
      <c r="AJ270" s="5"/>
      <c r="AK270" s="5"/>
      <c r="AL270" s="5"/>
      <c r="AM270" s="23"/>
      <c r="AN270" s="37"/>
      <c r="AO270" s="3">
        <f>back!C323</f>
        <v>0</v>
      </c>
    </row>
    <row r="271" spans="1:41" x14ac:dyDescent="0.2">
      <c r="A271" s="11"/>
      <c r="B271" s="11"/>
      <c r="C271" s="5"/>
      <c r="D271" s="29" t="s">
        <v>15</v>
      </c>
      <c r="E271" s="139" t="s">
        <v>212</v>
      </c>
      <c r="F271" s="5"/>
      <c r="G271" s="140"/>
      <c r="H271" s="140"/>
      <c r="I271" s="140"/>
      <c r="J271" s="140"/>
      <c r="K271" s="5"/>
      <c r="L271" s="5"/>
      <c r="M271" s="5"/>
      <c r="N271" s="5"/>
      <c r="O271" s="5"/>
      <c r="P271" s="5"/>
      <c r="Q271" s="5"/>
      <c r="R271" s="5"/>
      <c r="S271" s="5"/>
      <c r="T271" s="5"/>
      <c r="U271" s="5"/>
      <c r="V271" s="5"/>
      <c r="W271" s="5"/>
      <c r="X271" s="5"/>
      <c r="Y271" s="5"/>
      <c r="Z271" s="5"/>
      <c r="AA271" s="5"/>
      <c r="AB271" s="5"/>
      <c r="AC271" s="5"/>
      <c r="AD271" s="5"/>
      <c r="AH271" s="5"/>
      <c r="AI271" s="5"/>
      <c r="AJ271" s="5"/>
      <c r="AK271" s="5"/>
      <c r="AL271" s="5"/>
      <c r="AM271" s="23"/>
      <c r="AN271" s="37"/>
      <c r="AO271" s="3">
        <f>back!C324</f>
        <v>0</v>
      </c>
    </row>
    <row r="272" spans="1:41" x14ac:dyDescent="0.2">
      <c r="A272" s="11"/>
      <c r="B272" s="11"/>
      <c r="C272" s="5"/>
      <c r="D272" s="140"/>
      <c r="E272" s="28" t="str">
        <f>IF('New KR'!B100=1,"x","")</f>
        <v/>
      </c>
      <c r="F272" s="5" t="s">
        <v>213</v>
      </c>
      <c r="G272" s="140"/>
      <c r="H272" s="140"/>
      <c r="I272" s="140"/>
      <c r="J272" s="140"/>
      <c r="K272" s="5"/>
      <c r="L272" s="5"/>
      <c r="M272" s="5"/>
      <c r="N272" s="5"/>
      <c r="O272" s="5"/>
      <c r="P272" s="5"/>
      <c r="Q272" s="5"/>
      <c r="R272" s="5"/>
      <c r="S272" s="5"/>
      <c r="T272" s="5"/>
      <c r="U272" s="5"/>
      <c r="V272" s="5"/>
      <c r="W272" s="5"/>
      <c r="X272" s="5"/>
      <c r="Y272" s="5"/>
      <c r="Z272" s="5"/>
      <c r="AA272" s="5"/>
      <c r="AB272" s="5"/>
      <c r="AC272" s="5"/>
      <c r="AD272" s="5"/>
      <c r="AH272" s="5"/>
      <c r="AI272" s="5"/>
      <c r="AJ272" s="5"/>
      <c r="AK272" s="5"/>
      <c r="AL272" s="5"/>
      <c r="AM272" s="23"/>
      <c r="AN272" s="37"/>
      <c r="AO272" s="3">
        <f>back!C325</f>
        <v>0</v>
      </c>
    </row>
    <row r="273" spans="1:41" x14ac:dyDescent="0.2">
      <c r="A273" s="11"/>
      <c r="B273" s="11"/>
      <c r="C273" s="5"/>
      <c r="D273" s="140"/>
      <c r="E273" s="28"/>
      <c r="F273" s="5" t="s">
        <v>214</v>
      </c>
      <c r="G273" s="140"/>
      <c r="H273" s="140"/>
      <c r="I273" s="140"/>
      <c r="J273" s="140"/>
      <c r="K273" s="39" t="s">
        <v>211</v>
      </c>
      <c r="L273" s="5"/>
      <c r="M273" s="5"/>
      <c r="N273" s="5"/>
      <c r="O273" s="142" t="str">
        <f>IF(E273&lt;&gt;"","SR number:","")</f>
        <v/>
      </c>
      <c r="P273" s="143"/>
      <c r="Q273" s="143"/>
      <c r="R273" s="143"/>
      <c r="S273" s="143"/>
      <c r="T273" s="5"/>
      <c r="U273" s="5"/>
      <c r="V273" s="5"/>
      <c r="W273" s="5"/>
      <c r="X273" s="5"/>
      <c r="Y273" s="5"/>
      <c r="Z273" s="5"/>
      <c r="AA273" s="5"/>
      <c r="AB273" s="5"/>
      <c r="AC273" s="5"/>
      <c r="AD273" s="5"/>
      <c r="AH273" s="5"/>
      <c r="AI273" s="5"/>
      <c r="AJ273" s="5"/>
      <c r="AK273" s="5"/>
      <c r="AL273" s="5"/>
      <c r="AM273" s="23"/>
      <c r="AN273" s="37"/>
      <c r="AO273" s="3">
        <f>back!C326</f>
        <v>0</v>
      </c>
    </row>
    <row r="274" spans="1:41" x14ac:dyDescent="0.2">
      <c r="A274" s="11"/>
      <c r="B274" s="11"/>
      <c r="C274" s="5"/>
      <c r="D274" s="61"/>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H274" s="5"/>
      <c r="AI274" s="5"/>
      <c r="AJ274" s="5"/>
      <c r="AK274" s="5"/>
      <c r="AL274" s="5"/>
      <c r="AM274" s="23"/>
      <c r="AN274" s="37"/>
      <c r="AO274" s="3">
        <f>back!C327</f>
        <v>0</v>
      </c>
    </row>
    <row r="275" spans="1:41" x14ac:dyDescent="0.2">
      <c r="A275" s="11"/>
      <c r="B275" s="11"/>
      <c r="C275" s="5"/>
      <c r="D275" s="61"/>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H275" s="5"/>
      <c r="AI275" s="5"/>
      <c r="AJ275" s="5"/>
      <c r="AK275" s="5"/>
      <c r="AL275" s="5"/>
      <c r="AM275" s="23"/>
      <c r="AN275" s="37"/>
      <c r="AO275" s="3">
        <f>back!C328</f>
        <v>0</v>
      </c>
    </row>
    <row r="276" spans="1:41" x14ac:dyDescent="0.2">
      <c r="A276" s="11"/>
      <c r="B276" s="11"/>
      <c r="C276" s="5"/>
      <c r="D276" s="61"/>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H276" s="5"/>
      <c r="AI276" s="5"/>
      <c r="AJ276" s="5"/>
      <c r="AK276" s="5"/>
      <c r="AL276" s="5"/>
      <c r="AM276" s="23"/>
      <c r="AN276" s="37"/>
      <c r="AO276" s="3">
        <f>back!C329</f>
        <v>0</v>
      </c>
    </row>
    <row r="277" spans="1:41" x14ac:dyDescent="0.2">
      <c r="A277" s="11"/>
      <c r="B277" s="11"/>
      <c r="C277" s="29" t="s">
        <v>15</v>
      </c>
      <c r="D277" s="61" t="s">
        <v>215</v>
      </c>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H277" s="5"/>
      <c r="AI277" s="5"/>
      <c r="AJ277" s="5"/>
      <c r="AK277" s="5"/>
      <c r="AL277" s="5"/>
      <c r="AM277" s="23"/>
      <c r="AN277" s="37"/>
      <c r="AO277" s="3">
        <f>back!C330</f>
        <v>0</v>
      </c>
    </row>
    <row r="278" spans="1:41" x14ac:dyDescent="0.2">
      <c r="A278" s="11"/>
      <c r="B278" s="11"/>
      <c r="C278" s="5"/>
      <c r="D278" s="27" t="str">
        <f>IF('New KR'!B100=1,"x","")</f>
        <v/>
      </c>
      <c r="E278" s="61" t="s">
        <v>25</v>
      </c>
      <c r="F278" s="5" t="s">
        <v>68</v>
      </c>
      <c r="G278" s="5"/>
      <c r="H278" s="5"/>
      <c r="I278" s="5"/>
      <c r="J278" s="5"/>
      <c r="K278" s="5"/>
      <c r="L278" s="5"/>
      <c r="M278" s="5"/>
      <c r="N278" s="5"/>
      <c r="O278" s="5"/>
      <c r="P278" s="5"/>
      <c r="Q278" s="5"/>
      <c r="R278" s="5"/>
      <c r="S278" s="5"/>
      <c r="T278" s="5"/>
      <c r="U278" s="5"/>
      <c r="V278" s="5"/>
      <c r="W278" s="5"/>
      <c r="X278" s="5"/>
      <c r="Y278" s="5"/>
      <c r="Z278" s="5"/>
      <c r="AA278" s="5"/>
      <c r="AB278" s="5"/>
      <c r="AC278" s="5"/>
      <c r="AD278" s="5"/>
      <c r="AH278" s="5"/>
      <c r="AI278" s="5"/>
      <c r="AJ278" s="5"/>
      <c r="AK278" s="5"/>
      <c r="AL278" s="5"/>
      <c r="AM278" s="23"/>
      <c r="AN278" s="37"/>
      <c r="AO278" s="3">
        <f>back!C331</f>
        <v>0</v>
      </c>
    </row>
    <row r="279" spans="1:41" x14ac:dyDescent="0.2">
      <c r="A279" s="11"/>
      <c r="B279" s="11"/>
      <c r="C279" s="5"/>
      <c r="D279" s="28"/>
      <c r="E279" s="61" t="s">
        <v>27</v>
      </c>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H279" s="5"/>
      <c r="AI279" s="5"/>
      <c r="AJ279" s="5"/>
      <c r="AK279" s="5"/>
      <c r="AL279" s="5"/>
      <c r="AM279" s="23"/>
      <c r="AN279" s="37"/>
      <c r="AO279" s="3">
        <f>back!C332</f>
        <v>0</v>
      </c>
    </row>
    <row r="280" spans="1:41" x14ac:dyDescent="0.2">
      <c r="A280" s="11"/>
      <c r="B280" s="11"/>
      <c r="C280" s="5"/>
      <c r="D280" s="31"/>
      <c r="E280" s="29" t="s">
        <v>15</v>
      </c>
      <c r="F280" s="5"/>
      <c r="G280" s="5"/>
      <c r="H280" s="5"/>
      <c r="I280" s="5"/>
      <c r="J280" s="67" t="s">
        <v>69</v>
      </c>
      <c r="K280" s="63" t="s">
        <v>64</v>
      </c>
      <c r="L280" s="77"/>
      <c r="M280" s="77"/>
      <c r="N280" s="77"/>
      <c r="O280" s="77"/>
      <c r="P280" s="77"/>
      <c r="Q280" s="77"/>
      <c r="R280" s="77"/>
      <c r="S280" s="5"/>
      <c r="T280" s="5"/>
      <c r="U280" s="62"/>
      <c r="V280" s="63"/>
      <c r="W280" s="31"/>
      <c r="X280" s="5"/>
      <c r="Y280" s="64"/>
      <c r="Z280" s="31"/>
      <c r="AA280" s="5"/>
      <c r="AB280" s="5"/>
      <c r="AC280" s="5"/>
      <c r="AD280" s="5"/>
      <c r="AH280" s="5"/>
      <c r="AI280" s="5"/>
      <c r="AJ280" s="5"/>
      <c r="AK280" s="5"/>
      <c r="AL280" s="5"/>
      <c r="AM280" s="23"/>
      <c r="AN280" s="37"/>
      <c r="AO280" s="3">
        <f>back!C333</f>
        <v>0</v>
      </c>
    </row>
    <row r="281" spans="1:41" x14ac:dyDescent="0.2">
      <c r="A281" s="11"/>
      <c r="B281" s="11"/>
      <c r="C281" s="5"/>
      <c r="D281" s="31"/>
      <c r="E281" s="5"/>
      <c r="F281" s="5"/>
      <c r="G281" s="5"/>
      <c r="H281" s="5"/>
      <c r="I281" s="5"/>
      <c r="J281" s="67"/>
      <c r="K281" s="63"/>
      <c r="L281" s="78"/>
      <c r="M281" s="78"/>
      <c r="N281" s="78"/>
      <c r="O281" s="78"/>
      <c r="P281" s="78"/>
      <c r="Q281" s="78"/>
      <c r="R281" s="78"/>
      <c r="S281" s="5"/>
      <c r="T281" s="5"/>
      <c r="U281" s="5"/>
      <c r="V281" s="5"/>
      <c r="W281" s="31"/>
      <c r="X281" s="5"/>
      <c r="Y281" s="5"/>
      <c r="Z281" s="31"/>
      <c r="AA281" s="5"/>
      <c r="AB281" s="5"/>
      <c r="AC281" s="5"/>
      <c r="AD281" s="5"/>
      <c r="AH281" s="5"/>
      <c r="AI281" s="5"/>
      <c r="AJ281" s="5"/>
      <c r="AK281" s="5"/>
      <c r="AL281" s="5"/>
      <c r="AM281" s="23"/>
      <c r="AN281" s="37"/>
      <c r="AO281" s="3">
        <f>back!C334</f>
        <v>0</v>
      </c>
    </row>
    <row r="282" spans="1:41" x14ac:dyDescent="0.2">
      <c r="A282" s="11"/>
      <c r="B282" s="11"/>
      <c r="C282" s="5"/>
      <c r="D282" s="31"/>
      <c r="E282" s="5"/>
      <c r="F282" s="57"/>
      <c r="G282" s="58"/>
      <c r="H282" s="58"/>
      <c r="I282" s="58"/>
      <c r="J282" s="67" t="s">
        <v>74</v>
      </c>
      <c r="K282" s="63" t="s">
        <v>64</v>
      </c>
      <c r="L282" s="78"/>
      <c r="M282" s="78"/>
      <c r="N282" s="78"/>
      <c r="O282" s="78"/>
      <c r="P282" s="78"/>
      <c r="Q282" s="78"/>
      <c r="R282" s="78"/>
      <c r="S282" s="5"/>
      <c r="T282" s="5"/>
      <c r="U282" s="62"/>
      <c r="V282" s="63"/>
      <c r="W282" s="31"/>
      <c r="X282" s="5"/>
      <c r="Y282" s="64"/>
      <c r="Z282" s="31"/>
      <c r="AA282" s="5"/>
      <c r="AB282" s="5"/>
      <c r="AC282" s="5"/>
      <c r="AD282" s="5"/>
      <c r="AH282" s="5"/>
      <c r="AI282" s="5"/>
      <c r="AJ282" s="5"/>
      <c r="AK282" s="5"/>
      <c r="AL282" s="5"/>
      <c r="AM282" s="23"/>
      <c r="AN282" s="37"/>
      <c r="AO282" s="3">
        <f>back!C335</f>
        <v>0</v>
      </c>
    </row>
    <row r="283" spans="1:41" x14ac:dyDescent="0.2">
      <c r="A283" s="11"/>
      <c r="B283" s="11"/>
      <c r="C283" s="5"/>
      <c r="D283" s="31"/>
      <c r="E283" s="5"/>
      <c r="F283" s="57"/>
      <c r="G283" s="58"/>
      <c r="H283" s="58"/>
      <c r="I283" s="31"/>
      <c r="J283" s="67" t="s">
        <v>77</v>
      </c>
      <c r="K283" s="63" t="s">
        <v>64</v>
      </c>
      <c r="L283" s="76"/>
      <c r="M283" s="76"/>
      <c r="N283" s="76"/>
      <c r="O283" s="76"/>
      <c r="P283" s="5"/>
      <c r="Q283" s="5"/>
      <c r="R283" s="5"/>
      <c r="S283" s="5"/>
      <c r="T283" s="5"/>
      <c r="U283" s="5"/>
      <c r="V283" s="5"/>
      <c r="W283" s="5"/>
      <c r="X283" s="5"/>
      <c r="Y283" s="5"/>
      <c r="Z283" s="5"/>
      <c r="AA283" s="5"/>
      <c r="AB283" s="5"/>
      <c r="AC283" s="5"/>
      <c r="AD283" s="5"/>
      <c r="AH283" s="5"/>
      <c r="AI283" s="5"/>
      <c r="AJ283" s="5"/>
      <c r="AK283" s="5"/>
      <c r="AL283" s="5"/>
      <c r="AM283" s="23"/>
      <c r="AN283" s="37"/>
      <c r="AO283" s="3">
        <f>back!C336</f>
        <v>0</v>
      </c>
    </row>
    <row r="284" spans="1:41" x14ac:dyDescent="0.2">
      <c r="A284" s="11"/>
      <c r="B284" s="11"/>
      <c r="C284" s="5"/>
      <c r="D284" s="31"/>
      <c r="E284" s="5"/>
      <c r="F284" s="57"/>
      <c r="G284" s="58"/>
      <c r="H284" s="58"/>
      <c r="I284" s="31"/>
      <c r="J284" s="67" t="s">
        <v>216</v>
      </c>
      <c r="K284" s="63" t="s">
        <v>64</v>
      </c>
      <c r="L284" s="144"/>
      <c r="M284" s="144"/>
      <c r="N284" s="144"/>
      <c r="O284" s="144"/>
      <c r="P284" s="144"/>
      <c r="Q284" s="144"/>
      <c r="R284" s="144"/>
      <c r="S284" s="5"/>
      <c r="T284" s="5"/>
      <c r="U284" s="5"/>
      <c r="V284" s="5"/>
      <c r="W284" s="5"/>
      <c r="X284" s="5"/>
      <c r="Y284" s="5"/>
      <c r="Z284" s="5"/>
      <c r="AA284" s="5"/>
      <c r="AB284" s="5"/>
      <c r="AC284" s="5"/>
      <c r="AD284" s="5"/>
      <c r="AH284" s="5"/>
      <c r="AI284" s="5"/>
      <c r="AJ284" s="5"/>
      <c r="AK284" s="5"/>
      <c r="AL284" s="5"/>
      <c r="AM284" s="23"/>
      <c r="AN284" s="37"/>
      <c r="AO284" s="3">
        <f>back!C337</f>
        <v>0</v>
      </c>
    </row>
    <row r="285" spans="1:41" x14ac:dyDescent="0.2">
      <c r="A285" s="11"/>
      <c r="B285" s="11"/>
      <c r="C285" s="5"/>
      <c r="D285" s="31"/>
      <c r="E285" s="5"/>
      <c r="F285" s="58"/>
      <c r="G285" s="58"/>
      <c r="H285" s="58"/>
      <c r="I285" s="58"/>
      <c r="J285" s="67"/>
      <c r="K285" s="63"/>
      <c r="L285" s="75"/>
      <c r="M285" s="75"/>
      <c r="N285" s="75"/>
      <c r="O285" s="75"/>
      <c r="P285" s="75"/>
      <c r="Q285" s="75"/>
      <c r="R285" s="75"/>
      <c r="S285" s="5"/>
      <c r="T285" s="29"/>
      <c r="U285" s="5"/>
      <c r="V285" s="5"/>
      <c r="W285" s="5"/>
      <c r="X285" s="5"/>
      <c r="Y285" s="62"/>
      <c r="Z285" s="5"/>
      <c r="AA285" s="5"/>
      <c r="AB285" s="5"/>
      <c r="AC285" s="5"/>
      <c r="AD285" s="5"/>
      <c r="AH285" s="5"/>
      <c r="AI285" s="5"/>
      <c r="AJ285" s="5"/>
      <c r="AK285" s="5"/>
      <c r="AL285" s="5"/>
      <c r="AM285" s="23"/>
      <c r="AN285" s="37"/>
      <c r="AO285" s="3">
        <f>back!C338</f>
        <v>0</v>
      </c>
    </row>
    <row r="286" spans="1:41" x14ac:dyDescent="0.2">
      <c r="A286" s="11"/>
      <c r="B286" s="11"/>
      <c r="C286" s="5"/>
      <c r="D286" s="31"/>
      <c r="E286" s="5"/>
      <c r="F286" s="66"/>
      <c r="G286" s="66"/>
      <c r="H286" s="66"/>
      <c r="I286" s="66"/>
      <c r="J286" s="67"/>
      <c r="K286" s="5"/>
      <c r="L286" s="77"/>
      <c r="M286" s="77"/>
      <c r="N286" s="77"/>
      <c r="O286" s="77"/>
      <c r="P286" s="77"/>
      <c r="Q286" s="77"/>
      <c r="R286" s="77"/>
      <c r="S286" s="5"/>
      <c r="T286" s="5"/>
      <c r="U286" s="5"/>
      <c r="V286" s="5"/>
      <c r="W286" s="31"/>
      <c r="X286" s="5"/>
      <c r="Y286" s="5"/>
      <c r="Z286" s="5"/>
      <c r="AA286" s="5"/>
      <c r="AB286" s="5"/>
      <c r="AC286" s="5"/>
      <c r="AD286" s="5"/>
      <c r="AH286" s="5"/>
      <c r="AI286" s="5"/>
      <c r="AJ286" s="5"/>
      <c r="AK286" s="5"/>
      <c r="AL286" s="5"/>
      <c r="AM286" s="23"/>
      <c r="AN286" s="37"/>
      <c r="AO286" s="3">
        <f>back!C339</f>
        <v>0</v>
      </c>
    </row>
    <row r="287" spans="1:41" x14ac:dyDescent="0.2">
      <c r="A287" s="11"/>
      <c r="B287" s="11"/>
      <c r="C287" s="5"/>
      <c r="D287" s="31"/>
      <c r="E287" s="5"/>
      <c r="F287" s="66"/>
      <c r="G287" s="66"/>
      <c r="H287" s="66"/>
      <c r="I287" s="66"/>
      <c r="J287" s="67"/>
      <c r="K287" s="5"/>
      <c r="L287" s="5"/>
      <c r="M287" s="5"/>
      <c r="N287" s="5"/>
      <c r="O287" s="5"/>
      <c r="P287" s="5"/>
      <c r="Q287" s="5"/>
      <c r="R287" s="5"/>
      <c r="S287" s="5"/>
      <c r="T287" s="5"/>
      <c r="U287" s="5"/>
      <c r="V287" s="5"/>
      <c r="W287" s="5"/>
      <c r="X287" s="5"/>
      <c r="Y287" s="5"/>
      <c r="Z287" s="5"/>
      <c r="AA287" s="5"/>
      <c r="AB287" s="5"/>
      <c r="AC287" s="5"/>
      <c r="AD287" s="5"/>
      <c r="AH287" s="5"/>
      <c r="AI287" s="5"/>
      <c r="AJ287" s="5"/>
      <c r="AK287" s="5"/>
      <c r="AL287" s="5"/>
      <c r="AM287" s="23"/>
      <c r="AN287" s="37"/>
      <c r="AO287" s="3">
        <f>back!C340</f>
        <v>0</v>
      </c>
    </row>
    <row r="288" spans="1:41" x14ac:dyDescent="0.2">
      <c r="A288" s="11"/>
      <c r="B288" s="11"/>
      <c r="C288" s="5"/>
      <c r="D288" s="31"/>
      <c r="E288" s="5"/>
      <c r="F288" s="5"/>
      <c r="G288" s="5"/>
      <c r="H288" s="5"/>
      <c r="I288" s="5"/>
      <c r="J288" s="67" t="s">
        <v>83</v>
      </c>
      <c r="K288" s="63" t="s">
        <v>64</v>
      </c>
      <c r="L288" s="70"/>
      <c r="M288" s="70"/>
      <c r="N288" s="70"/>
      <c r="O288" s="70"/>
      <c r="P288" s="5"/>
      <c r="Q288" s="5"/>
      <c r="R288" s="5"/>
      <c r="S288" s="5"/>
      <c r="T288" s="67" t="s">
        <v>86</v>
      </c>
      <c r="U288" s="143"/>
      <c r="V288" s="143"/>
      <c r="W288" s="143"/>
      <c r="X288" s="143"/>
      <c r="Y288" s="5"/>
      <c r="Z288" s="5"/>
      <c r="AA288" s="5"/>
      <c r="AB288" s="5"/>
      <c r="AC288" s="5"/>
      <c r="AD288" s="5"/>
      <c r="AH288" s="5"/>
      <c r="AI288" s="5"/>
      <c r="AJ288" s="5"/>
      <c r="AK288" s="5"/>
      <c r="AL288" s="5"/>
      <c r="AM288" s="23"/>
      <c r="AN288" s="37"/>
      <c r="AO288" s="3">
        <f>back!C341</f>
        <v>0</v>
      </c>
    </row>
    <row r="289" spans="1:42" x14ac:dyDescent="0.2">
      <c r="A289" s="11"/>
      <c r="B289" s="11"/>
      <c r="C289" s="5"/>
      <c r="D289" s="31"/>
      <c r="E289" s="5"/>
      <c r="F289" s="5"/>
      <c r="G289" s="5"/>
      <c r="H289" s="5"/>
      <c r="I289" s="5"/>
      <c r="J289" s="67" t="s">
        <v>89</v>
      </c>
      <c r="K289" s="5"/>
      <c r="L289" s="76"/>
      <c r="M289" s="76"/>
      <c r="N289" s="76"/>
      <c r="O289" s="76"/>
      <c r="P289" s="5"/>
      <c r="Q289" s="5"/>
      <c r="R289" s="5"/>
      <c r="S289" s="5"/>
      <c r="T289" s="67" t="s">
        <v>90</v>
      </c>
      <c r="U289" s="145"/>
      <c r="V289" s="145"/>
      <c r="W289" s="145"/>
      <c r="X289" s="145"/>
      <c r="Y289" s="5"/>
      <c r="Z289" s="5"/>
      <c r="AA289" s="5"/>
      <c r="AB289" s="5"/>
      <c r="AC289" s="5"/>
      <c r="AD289" s="5"/>
      <c r="AH289" s="5"/>
      <c r="AI289" s="5"/>
      <c r="AJ289" s="5"/>
      <c r="AK289" s="5"/>
      <c r="AL289" s="5"/>
      <c r="AM289" s="23"/>
      <c r="AN289" s="37"/>
      <c r="AO289" s="3">
        <f>back!C342</f>
        <v>0</v>
      </c>
    </row>
    <row r="290" spans="1:42" x14ac:dyDescent="0.2">
      <c r="A290" s="11"/>
      <c r="B290" s="11"/>
      <c r="C290" s="5"/>
      <c r="D290" s="31"/>
      <c r="E290" s="5"/>
      <c r="F290" s="5"/>
      <c r="G290" s="5"/>
      <c r="H290" s="5"/>
      <c r="I290" s="5"/>
      <c r="J290" s="67" t="s">
        <v>92</v>
      </c>
      <c r="K290" s="5"/>
      <c r="L290" s="76"/>
      <c r="M290" s="76"/>
      <c r="N290" s="76"/>
      <c r="O290" s="76"/>
      <c r="P290" s="5"/>
      <c r="Q290" s="5"/>
      <c r="R290" s="5"/>
      <c r="S290" s="5"/>
      <c r="T290" s="67" t="s">
        <v>94</v>
      </c>
      <c r="U290" s="145"/>
      <c r="V290" s="145"/>
      <c r="W290" s="145"/>
      <c r="X290" s="145"/>
      <c r="Y290" s="5"/>
      <c r="Z290" s="5"/>
      <c r="AA290" s="5"/>
      <c r="AB290" s="5"/>
      <c r="AC290" s="5"/>
      <c r="AD290" s="5"/>
      <c r="AH290" s="5"/>
      <c r="AI290" s="5"/>
      <c r="AJ290" s="5"/>
      <c r="AK290" s="5"/>
      <c r="AL290" s="5"/>
      <c r="AM290" s="23"/>
      <c r="AN290" s="37"/>
      <c r="AO290" s="3">
        <f>back!C343</f>
        <v>0</v>
      </c>
    </row>
    <row r="291" spans="1:42" x14ac:dyDescent="0.2">
      <c r="A291" s="11"/>
      <c r="B291" s="11"/>
      <c r="C291" s="5"/>
      <c r="D291" s="31"/>
      <c r="E291" s="5"/>
      <c r="F291" s="5"/>
      <c r="G291" s="5"/>
      <c r="H291" s="5"/>
      <c r="I291" s="5"/>
      <c r="J291" s="67" t="s">
        <v>95</v>
      </c>
      <c r="K291" s="5"/>
      <c r="L291" s="76"/>
      <c r="M291" s="76"/>
      <c r="N291" s="76"/>
      <c r="O291" s="76"/>
      <c r="P291" s="5"/>
      <c r="Q291" s="5"/>
      <c r="R291" s="5"/>
      <c r="S291" s="5"/>
      <c r="T291" s="5"/>
      <c r="U291" s="5"/>
      <c r="V291" s="5"/>
      <c r="W291" s="5"/>
      <c r="X291" s="5"/>
      <c r="Y291" s="5"/>
      <c r="Z291" s="5"/>
      <c r="AA291" s="5"/>
      <c r="AB291" s="5"/>
      <c r="AC291" s="5"/>
      <c r="AD291" s="5"/>
      <c r="AH291" s="5"/>
      <c r="AI291" s="5"/>
      <c r="AJ291" s="5"/>
      <c r="AK291" s="5"/>
      <c r="AL291" s="5"/>
      <c r="AM291" s="23"/>
      <c r="AN291" s="37"/>
      <c r="AO291" s="3">
        <f>back!C344</f>
        <v>0</v>
      </c>
    </row>
    <row r="292" spans="1:42" x14ac:dyDescent="0.2">
      <c r="A292" s="11"/>
      <c r="B292" s="11"/>
      <c r="C292" s="5"/>
      <c r="D292" s="31"/>
      <c r="E292" s="5"/>
      <c r="F292" s="5"/>
      <c r="G292" s="5"/>
      <c r="H292" s="5"/>
      <c r="I292" s="5"/>
      <c r="J292" s="5"/>
      <c r="K292" s="63"/>
      <c r="L292" s="5"/>
      <c r="M292" s="5"/>
      <c r="N292" s="5"/>
      <c r="O292" s="5"/>
      <c r="P292" s="5"/>
      <c r="Q292" s="5"/>
      <c r="R292" s="5"/>
      <c r="S292" s="5"/>
      <c r="T292" s="5"/>
      <c r="U292" s="5"/>
      <c r="V292" s="5"/>
      <c r="W292" s="5"/>
      <c r="X292" s="5"/>
      <c r="Y292" s="5"/>
      <c r="Z292" s="5"/>
      <c r="AA292" s="5"/>
      <c r="AB292" s="5"/>
      <c r="AC292" s="5"/>
      <c r="AD292" s="5"/>
      <c r="AH292" s="5"/>
      <c r="AI292" s="5"/>
      <c r="AJ292" s="5"/>
      <c r="AK292" s="5"/>
      <c r="AL292" s="5"/>
      <c r="AM292" s="23"/>
      <c r="AN292" s="37"/>
      <c r="AO292" s="3">
        <f>back!C345</f>
        <v>0</v>
      </c>
    </row>
    <row r="293" spans="1:42" x14ac:dyDescent="0.2">
      <c r="A293" s="11"/>
      <c r="B293" s="11"/>
      <c r="C293" s="5"/>
      <c r="D293" s="31"/>
      <c r="E293" s="5"/>
      <c r="F293" s="5"/>
      <c r="G293" s="5"/>
      <c r="H293" s="5"/>
      <c r="I293" s="5"/>
      <c r="J293" s="62" t="s">
        <v>71</v>
      </c>
      <c r="K293" s="5"/>
      <c r="L293" s="70"/>
      <c r="M293" s="70"/>
      <c r="N293" s="70"/>
      <c r="O293" s="70"/>
      <c r="P293" s="5"/>
      <c r="Q293" s="5"/>
      <c r="R293" s="5"/>
      <c r="S293" s="5"/>
      <c r="T293" s="62" t="s">
        <v>84</v>
      </c>
      <c r="U293" s="70"/>
      <c r="V293" s="70"/>
      <c r="W293" s="70"/>
      <c r="X293" s="70"/>
      <c r="Y293" s="5"/>
      <c r="Z293" s="5"/>
      <c r="AA293" s="5"/>
      <c r="AB293" s="5"/>
      <c r="AC293" s="5"/>
      <c r="AD293" s="5"/>
      <c r="AH293" s="5"/>
      <c r="AI293" s="5"/>
      <c r="AJ293" s="5"/>
      <c r="AK293" s="5"/>
      <c r="AL293" s="5"/>
      <c r="AM293" s="23"/>
      <c r="AN293" s="37"/>
      <c r="AO293" s="3">
        <f>back!C346</f>
        <v>0</v>
      </c>
    </row>
    <row r="294" spans="1:42" x14ac:dyDescent="0.2">
      <c r="A294" s="11"/>
      <c r="B294" s="11"/>
      <c r="C294" s="5"/>
      <c r="D294" s="31"/>
      <c r="E294" s="5"/>
      <c r="F294" s="5"/>
      <c r="G294" s="5"/>
      <c r="H294" s="5"/>
      <c r="I294" s="5"/>
      <c r="J294" s="62" t="s">
        <v>81</v>
      </c>
      <c r="K294" s="5"/>
      <c r="L294" s="76"/>
      <c r="M294" s="76"/>
      <c r="N294" s="76"/>
      <c r="O294" s="76"/>
      <c r="P294" s="5"/>
      <c r="Q294" s="5"/>
      <c r="R294" s="5"/>
      <c r="S294" s="5"/>
      <c r="T294" s="62" t="s">
        <v>87</v>
      </c>
      <c r="U294" s="76"/>
      <c r="V294" s="76"/>
      <c r="W294" s="76"/>
      <c r="X294" s="76"/>
      <c r="Y294" s="5"/>
      <c r="Z294" s="5"/>
      <c r="AA294" s="5"/>
      <c r="AB294" s="5"/>
      <c r="AC294" s="5"/>
      <c r="AD294" s="5"/>
      <c r="AH294" s="5"/>
      <c r="AI294" s="5"/>
      <c r="AJ294" s="5"/>
      <c r="AK294" s="5"/>
      <c r="AL294" s="5"/>
      <c r="AM294" s="23"/>
      <c r="AN294" s="37"/>
      <c r="AO294" s="3">
        <f>back!C347</f>
        <v>0</v>
      </c>
    </row>
    <row r="295" spans="1:42" x14ac:dyDescent="0.2">
      <c r="A295" s="11"/>
      <c r="B295" s="11"/>
      <c r="C295" s="5"/>
      <c r="D295" s="31"/>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H295" s="5"/>
      <c r="AI295" s="5"/>
      <c r="AJ295" s="5"/>
      <c r="AK295" s="5"/>
      <c r="AL295" s="5"/>
      <c r="AM295" s="23"/>
      <c r="AN295" s="37"/>
      <c r="AO295" s="3">
        <f>back!C348</f>
        <v>0</v>
      </c>
    </row>
    <row r="296" spans="1:42" x14ac:dyDescent="0.2">
      <c r="A296" s="11"/>
      <c r="B296" s="11"/>
      <c r="C296" s="29" t="s">
        <v>15</v>
      </c>
      <c r="D296" s="1" t="s">
        <v>217</v>
      </c>
      <c r="E296" s="5"/>
      <c r="F296" s="5"/>
      <c r="G296" s="5"/>
      <c r="H296" s="5"/>
      <c r="I296" s="5"/>
      <c r="K296" s="62"/>
      <c r="L296" s="63"/>
      <c r="M296" s="5"/>
      <c r="N296" s="67"/>
      <c r="O296" s="5"/>
      <c r="P296" s="5"/>
      <c r="Q296" s="5"/>
      <c r="R296" s="5"/>
      <c r="S296" s="5"/>
      <c r="T296" s="5"/>
      <c r="U296" s="5"/>
      <c r="V296" s="5"/>
      <c r="W296" s="5"/>
      <c r="X296" s="5"/>
      <c r="Y296" s="5"/>
      <c r="Z296" s="5"/>
      <c r="AA296" s="5"/>
      <c r="AB296" s="5"/>
      <c r="AC296" s="5"/>
      <c r="AD296" s="5"/>
      <c r="AH296" s="5"/>
      <c r="AI296" s="5"/>
      <c r="AJ296" s="5"/>
      <c r="AK296" s="5"/>
      <c r="AL296" s="5"/>
      <c r="AM296" s="23"/>
      <c r="AN296" s="37"/>
      <c r="AO296" s="3">
        <f>back!C349</f>
        <v>0</v>
      </c>
    </row>
    <row r="297" spans="1:42" x14ac:dyDescent="0.2">
      <c r="A297" s="11"/>
      <c r="B297" s="11"/>
      <c r="D297" s="109"/>
      <c r="E297" s="5" t="s">
        <v>27</v>
      </c>
      <c r="F297" s="5"/>
      <c r="G297" s="5"/>
      <c r="H297" s="5"/>
      <c r="I297" s="5"/>
      <c r="J297" s="31"/>
      <c r="K297" s="5"/>
      <c r="L297" s="31"/>
      <c r="M297" s="5"/>
      <c r="N297" s="5"/>
      <c r="O297" s="5"/>
      <c r="P297" s="5"/>
      <c r="Q297" s="5"/>
      <c r="R297" s="5"/>
      <c r="S297" s="5"/>
      <c r="T297" s="5"/>
      <c r="U297" s="5"/>
      <c r="V297" s="5"/>
      <c r="W297" s="5"/>
      <c r="X297" s="5"/>
      <c r="Y297" s="5"/>
      <c r="Z297" s="5"/>
      <c r="AA297" s="5"/>
      <c r="AB297" s="5"/>
      <c r="AC297" s="5"/>
      <c r="AD297" s="5"/>
      <c r="AH297" s="5"/>
      <c r="AI297" s="5"/>
      <c r="AJ297" s="5"/>
      <c r="AK297" s="5"/>
      <c r="AL297" s="5"/>
      <c r="AM297" s="23"/>
      <c r="AN297" s="37"/>
      <c r="AO297" s="3">
        <f>back!C350</f>
        <v>0</v>
      </c>
    </row>
    <row r="298" spans="1:42" x14ac:dyDescent="0.2">
      <c r="A298" s="11"/>
      <c r="B298" s="11"/>
      <c r="D298" s="128"/>
      <c r="E298" s="5" t="s">
        <v>25</v>
      </c>
      <c r="F298" s="5"/>
      <c r="G298" s="5"/>
      <c r="H298" s="5"/>
      <c r="I298" s="5"/>
      <c r="J298" s="31"/>
      <c r="K298" s="5"/>
      <c r="L298" s="31"/>
      <c r="M298" s="5"/>
      <c r="N298" s="5"/>
      <c r="O298" s="5"/>
      <c r="P298" s="5"/>
      <c r="Q298" s="5"/>
      <c r="R298" s="5"/>
      <c r="S298" s="5"/>
      <c r="T298" s="5"/>
      <c r="U298" s="5"/>
      <c r="V298" s="5"/>
      <c r="W298" s="5"/>
      <c r="X298" s="5"/>
      <c r="Y298" s="5"/>
      <c r="Z298" s="5"/>
      <c r="AA298" s="5"/>
      <c r="AB298" s="5"/>
      <c r="AC298" s="5"/>
      <c r="AD298" s="5"/>
      <c r="AH298" s="5"/>
      <c r="AI298" s="5"/>
      <c r="AJ298" s="5"/>
      <c r="AK298" s="5"/>
      <c r="AL298" s="5"/>
      <c r="AM298" s="23"/>
      <c r="AN298" s="37"/>
      <c r="AO298" s="3">
        <f>back!C351</f>
        <v>0</v>
      </c>
    </row>
    <row r="299" spans="1:42" x14ac:dyDescent="0.2">
      <c r="A299" s="11"/>
      <c r="B299" s="11"/>
      <c r="C299" s="5"/>
      <c r="D299" s="31"/>
      <c r="E299" s="29" t="s">
        <v>15</v>
      </c>
      <c r="F299" s="88"/>
      <c r="G299" s="88"/>
      <c r="I299" s="5"/>
      <c r="J299" s="5"/>
      <c r="K299" s="5"/>
      <c r="L299" s="5"/>
      <c r="N299" s="5"/>
      <c r="Q299" s="5"/>
      <c r="R299" s="5"/>
      <c r="S299" s="5"/>
      <c r="T299" s="5"/>
      <c r="U299" s="5"/>
      <c r="V299" s="5"/>
      <c r="W299" s="5"/>
      <c r="X299" s="5"/>
      <c r="Y299" s="5"/>
      <c r="Z299" s="5"/>
      <c r="AA299" s="5"/>
      <c r="AB299" s="5"/>
      <c r="AC299" s="5"/>
      <c r="AD299" s="5"/>
      <c r="AH299" s="5"/>
      <c r="AI299" s="5"/>
      <c r="AJ299" s="5"/>
      <c r="AK299" s="5"/>
      <c r="AL299" s="5"/>
      <c r="AM299" s="23"/>
      <c r="AN299" s="37"/>
      <c r="AO299" s="3">
        <f>back!C352</f>
        <v>0</v>
      </c>
    </row>
    <row r="300" spans="1:42" x14ac:dyDescent="0.2">
      <c r="A300" s="11"/>
      <c r="B300" s="11"/>
      <c r="C300" s="5"/>
      <c r="D300" s="31"/>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H300" s="5"/>
      <c r="AI300" s="5"/>
      <c r="AJ300" s="5"/>
      <c r="AK300" s="5"/>
      <c r="AL300" s="5"/>
      <c r="AM300" s="23"/>
      <c r="AN300" s="37"/>
      <c r="AO300" s="3">
        <f>back!C353</f>
        <v>0</v>
      </c>
    </row>
    <row r="301" spans="1:42" x14ac:dyDescent="0.2">
      <c r="A301" s="11"/>
      <c r="B301" s="11"/>
      <c r="C301" s="29" t="s">
        <v>15</v>
      </c>
      <c r="D301" s="61" t="s">
        <v>218</v>
      </c>
      <c r="E301" s="5"/>
      <c r="F301" s="5"/>
      <c r="G301" s="5"/>
      <c r="H301" s="5"/>
      <c r="I301" s="5"/>
      <c r="J301" s="5"/>
      <c r="K301" s="5"/>
      <c r="L301" s="5"/>
      <c r="M301" s="5"/>
      <c r="N301" s="43"/>
      <c r="O301" s="43"/>
      <c r="P301" s="43"/>
      <c r="Q301" s="43"/>
      <c r="R301" s="43"/>
      <c r="S301" s="43"/>
      <c r="T301" s="43"/>
      <c r="U301" s="5"/>
      <c r="V301" s="5"/>
      <c r="W301" s="5"/>
      <c r="X301" s="5"/>
      <c r="Y301" s="5"/>
      <c r="Z301" s="5"/>
      <c r="AA301" s="5"/>
      <c r="AB301" s="5"/>
      <c r="AC301" s="5"/>
      <c r="AD301" s="5"/>
      <c r="AH301" s="5"/>
      <c r="AI301" s="5"/>
      <c r="AJ301" s="5"/>
      <c r="AK301" s="5"/>
      <c r="AL301" s="5"/>
      <c r="AM301" s="23"/>
      <c r="AN301" s="37"/>
      <c r="AO301" s="3">
        <f>back!C354</f>
        <v>0</v>
      </c>
      <c r="AP301" s="3" t="e">
        <f>back!B180</f>
        <v>#VALUE!</v>
      </c>
    </row>
    <row r="302" spans="1:42" x14ac:dyDescent="0.2">
      <c r="A302" s="11"/>
      <c r="B302" s="11"/>
      <c r="C302" s="5"/>
      <c r="D302" s="31"/>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H302" s="5"/>
      <c r="AI302" s="5"/>
      <c r="AJ302" s="5"/>
      <c r="AK302" s="5"/>
      <c r="AL302" s="5"/>
      <c r="AM302" s="23"/>
      <c r="AN302" s="37"/>
      <c r="AO302" s="3">
        <f>back!C355</f>
        <v>0</v>
      </c>
      <c r="AP302" s="3" t="e">
        <f>back!B181</f>
        <v>#VALUE!</v>
      </c>
    </row>
    <row r="303" spans="1:42" x14ac:dyDescent="0.2">
      <c r="A303" s="11"/>
      <c r="B303" s="11"/>
      <c r="C303" s="29" t="s">
        <v>15</v>
      </c>
      <c r="D303" s="61" t="s">
        <v>219</v>
      </c>
      <c r="E303" s="5"/>
      <c r="F303" s="5"/>
      <c r="G303" s="5"/>
      <c r="H303" s="5"/>
      <c r="I303" s="5"/>
      <c r="J303" s="5"/>
      <c r="K303" s="5"/>
      <c r="L303" s="5"/>
      <c r="M303" s="5"/>
      <c r="N303" s="43"/>
      <c r="O303" s="43"/>
      <c r="P303" s="43"/>
      <c r="Q303" s="43"/>
      <c r="R303" s="43"/>
      <c r="S303" s="43"/>
      <c r="T303" s="43"/>
      <c r="U303" s="43"/>
      <c r="V303" s="43"/>
      <c r="W303" s="43"/>
      <c r="X303" s="43"/>
      <c r="Y303" s="43"/>
      <c r="Z303" s="43"/>
      <c r="AA303" s="5"/>
      <c r="AB303" s="5"/>
      <c r="AC303" s="5"/>
      <c r="AD303" s="5"/>
      <c r="AH303" s="5"/>
      <c r="AI303" s="5"/>
      <c r="AJ303" s="5"/>
      <c r="AK303" s="5"/>
      <c r="AL303" s="5"/>
      <c r="AM303" s="23"/>
      <c r="AN303" s="37"/>
      <c r="AO303" s="3">
        <f>back!C356</f>
        <v>0</v>
      </c>
      <c r="AP303" s="3" t="e">
        <f>back!B182</f>
        <v>#VALUE!</v>
      </c>
    </row>
    <row r="304" spans="1:42" x14ac:dyDescent="0.2">
      <c r="A304" s="11"/>
      <c r="B304" s="11"/>
      <c r="C304" s="5"/>
      <c r="D304" s="61"/>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H304" s="5"/>
      <c r="AI304" s="5"/>
      <c r="AJ304" s="5"/>
      <c r="AK304" s="5"/>
      <c r="AL304" s="5"/>
      <c r="AM304" s="23"/>
      <c r="AN304" s="37"/>
      <c r="AO304" s="3">
        <f>back!C357</f>
        <v>0</v>
      </c>
      <c r="AP304" s="3" t="e">
        <f>back!B183</f>
        <v>#VALUE!</v>
      </c>
    </row>
    <row r="305" spans="1:42" x14ac:dyDescent="0.2">
      <c r="A305" s="11"/>
      <c r="B305" s="11"/>
      <c r="C305" s="5"/>
      <c r="D305" s="16" t="str">
        <f>IF(OR(back!C165=1,back!C165=2,back!C165=5),"Fibre &amp; Leased Line","Only Applicable for 3rd Party Leased Line")</f>
        <v>Only Applicable for 3rd Party Leased Line</v>
      </c>
      <c r="E305" s="103"/>
      <c r="F305" s="103"/>
      <c r="G305" s="103"/>
      <c r="H305" s="103"/>
      <c r="I305" s="103"/>
      <c r="J305" s="103"/>
      <c r="K305" s="103"/>
      <c r="L305" s="103"/>
      <c r="M305" s="103"/>
      <c r="N305" s="146"/>
      <c r="O305" s="21"/>
      <c r="P305" s="16" t="str">
        <f>IF(OR(back!C165=3,back!C165=4),"ULL &amp; wDSL","Not relevant")</f>
        <v>Not relevant</v>
      </c>
      <c r="Q305" s="103"/>
      <c r="R305" s="103"/>
      <c r="S305" s="103"/>
      <c r="T305" s="17"/>
      <c r="U305" s="103"/>
      <c r="V305" s="103"/>
      <c r="W305" s="17"/>
      <c r="X305" s="17"/>
      <c r="Y305" s="17"/>
      <c r="Z305" s="56"/>
      <c r="AA305" s="5"/>
      <c r="AB305" s="5"/>
      <c r="AC305" s="5"/>
      <c r="AD305" s="5"/>
      <c r="AH305" s="5"/>
      <c r="AI305" s="5"/>
      <c r="AJ305" s="5"/>
      <c r="AK305" s="5"/>
      <c r="AL305" s="5"/>
      <c r="AM305" s="23"/>
      <c r="AN305" s="37"/>
      <c r="AO305" s="3">
        <f>back!C358</f>
        <v>0</v>
      </c>
      <c r="AP305" s="3" t="e">
        <f>back!B184</f>
        <v>#VALUE!</v>
      </c>
    </row>
    <row r="306" spans="1:42" x14ac:dyDescent="0.2">
      <c r="A306" s="11"/>
      <c r="B306" s="11"/>
      <c r="C306" s="5"/>
      <c r="D306" s="11"/>
      <c r="E306" s="5"/>
      <c r="F306" s="5"/>
      <c r="G306" s="5"/>
      <c r="H306" s="5"/>
      <c r="I306" s="5"/>
      <c r="J306" s="5"/>
      <c r="K306" s="5"/>
      <c r="L306" s="5"/>
      <c r="M306" s="5"/>
      <c r="N306" s="59"/>
      <c r="O306" s="5"/>
      <c r="P306" s="11"/>
      <c r="Q306" s="5"/>
      <c r="R306" s="5"/>
      <c r="S306" s="5"/>
      <c r="T306" s="5"/>
      <c r="U306" s="5"/>
      <c r="V306" s="5"/>
      <c r="W306" s="5"/>
      <c r="X306" s="5"/>
      <c r="Y306" s="5"/>
      <c r="Z306" s="59"/>
      <c r="AA306" s="5"/>
      <c r="AB306" s="5"/>
      <c r="AC306" s="5"/>
      <c r="AD306" s="5"/>
      <c r="AH306" s="5"/>
      <c r="AI306" s="5"/>
      <c r="AJ306" s="5"/>
      <c r="AK306" s="5"/>
      <c r="AL306" s="5"/>
      <c r="AM306" s="23"/>
      <c r="AN306" s="37"/>
      <c r="AO306" s="3">
        <f>back!C359</f>
        <v>0</v>
      </c>
      <c r="AP306" s="3" t="e">
        <f>back!B185</f>
        <v>#VALUE!</v>
      </c>
    </row>
    <row r="307" spans="1:42" x14ac:dyDescent="0.2">
      <c r="A307" s="11"/>
      <c r="B307" s="11"/>
      <c r="C307" s="5"/>
      <c r="D307" s="11" t="str">
        <f>IF(OR(back!C165=1,back!C165=2,back!C165=5),"Access Circuit","")</f>
        <v/>
      </c>
      <c r="E307" s="5"/>
      <c r="F307" s="5"/>
      <c r="G307" s="5"/>
      <c r="H307" s="5"/>
      <c r="I307" s="27"/>
      <c r="J307" s="5" t="s">
        <v>220</v>
      </c>
      <c r="K307" s="5"/>
      <c r="L307" s="5"/>
      <c r="M307" s="5"/>
      <c r="N307" s="59"/>
      <c r="O307" s="5"/>
      <c r="P307" s="11"/>
      <c r="Q307" s="5" t="str">
        <f>IF(OR(back!G154=3,back!G154=4),"Phone number to check availability"," ")</f>
        <v xml:space="preserve"> </v>
      </c>
      <c r="R307" s="5"/>
      <c r="S307" s="5"/>
      <c r="T307" s="5"/>
      <c r="U307" s="5"/>
      <c r="V307" s="5"/>
      <c r="W307" s="5"/>
      <c r="X307" s="5"/>
      <c r="Y307" s="5"/>
      <c r="Z307" s="59"/>
      <c r="AA307" s="5"/>
      <c r="AB307" s="5"/>
      <c r="AC307" s="5"/>
      <c r="AD307" s="5"/>
      <c r="AH307" s="5"/>
      <c r="AI307" s="5"/>
      <c r="AJ307" s="5"/>
      <c r="AK307" s="5"/>
      <c r="AL307" s="5"/>
      <c r="AM307" s="23"/>
      <c r="AN307" s="37"/>
      <c r="AO307" s="3">
        <f>back!C360</f>
        <v>0</v>
      </c>
      <c r="AP307" s="3" t="e">
        <f>back!B186</f>
        <v>#VALUE!</v>
      </c>
    </row>
    <row r="308" spans="1:42" x14ac:dyDescent="0.2">
      <c r="A308" s="11"/>
      <c r="B308" s="11"/>
      <c r="C308" s="5"/>
      <c r="D308" s="11"/>
      <c r="E308" s="5"/>
      <c r="F308" s="5"/>
      <c r="G308" s="5"/>
      <c r="H308" s="5"/>
      <c r="I308" s="28"/>
      <c r="J308" s="5" t="s">
        <v>221</v>
      </c>
      <c r="K308" s="5"/>
      <c r="L308" s="5"/>
      <c r="M308" s="5"/>
      <c r="N308" s="59"/>
      <c r="O308" s="5"/>
      <c r="P308" s="11"/>
      <c r="Q308" s="5" t="str">
        <f>IF(back!B270=0," ",back!B270)</f>
        <v xml:space="preserve"> </v>
      </c>
      <c r="R308" s="5"/>
      <c r="S308" s="5"/>
      <c r="T308" s="5"/>
      <c r="U308" s="5"/>
      <c r="V308" s="5"/>
      <c r="W308" s="147"/>
      <c r="X308" s="147"/>
      <c r="Y308" s="147"/>
      <c r="Z308" s="147"/>
      <c r="AA308" s="5"/>
      <c r="AB308" s="5"/>
      <c r="AC308" s="5"/>
      <c r="AD308" s="5"/>
      <c r="AH308" s="5"/>
      <c r="AI308" s="5"/>
      <c r="AJ308" s="5"/>
      <c r="AK308" s="5"/>
      <c r="AL308" s="5"/>
      <c r="AM308" s="23"/>
      <c r="AN308" s="37"/>
      <c r="AO308" s="3">
        <f>back!C361</f>
        <v>0</v>
      </c>
      <c r="AP308" s="3" t="e">
        <f>back!B187</f>
        <v>#VALUE!</v>
      </c>
    </row>
    <row r="309" spans="1:42" x14ac:dyDescent="0.2">
      <c r="A309" s="11"/>
      <c r="B309" s="11"/>
      <c r="C309" s="5"/>
      <c r="D309" s="11"/>
      <c r="E309" s="5"/>
      <c r="F309" s="5"/>
      <c r="G309" s="5"/>
      <c r="H309" s="5"/>
      <c r="I309" s="5"/>
      <c r="J309" s="29" t="s">
        <v>15</v>
      </c>
      <c r="K309" s="27"/>
      <c r="L309" s="5" t="s">
        <v>111</v>
      </c>
      <c r="M309" s="5"/>
      <c r="N309" s="59"/>
      <c r="O309" s="5"/>
      <c r="P309" s="11"/>
      <c r="Q309" s="5" t="str">
        <f>IF(back!B271=0," ",back!B271)</f>
        <v xml:space="preserve"> </v>
      </c>
      <c r="R309" s="5"/>
      <c r="S309" s="5"/>
      <c r="T309" s="5"/>
      <c r="U309" s="5"/>
      <c r="V309" s="5"/>
      <c r="W309" s="148"/>
      <c r="X309" s="148"/>
      <c r="Y309" s="148"/>
      <c r="Z309" s="148"/>
      <c r="AA309" s="5"/>
      <c r="AB309" s="5"/>
      <c r="AC309" s="5"/>
      <c r="AD309" s="5"/>
      <c r="AH309" s="5"/>
      <c r="AI309" s="5"/>
      <c r="AJ309" s="5"/>
      <c r="AK309" s="5"/>
      <c r="AL309" s="5"/>
      <c r="AM309" s="23"/>
      <c r="AN309" s="37"/>
      <c r="AO309" s="3">
        <f>back!C362</f>
        <v>2</v>
      </c>
      <c r="AP309" s="3" t="e">
        <f>back!B188</f>
        <v>#VALUE!</v>
      </c>
    </row>
    <row r="310" spans="1:42" x14ac:dyDescent="0.2">
      <c r="A310" s="11"/>
      <c r="B310" s="11"/>
      <c r="C310" s="5"/>
      <c r="D310" s="11"/>
      <c r="E310" s="5"/>
      <c r="F310" s="5"/>
      <c r="G310" s="5"/>
      <c r="H310" s="5"/>
      <c r="I310" s="5"/>
      <c r="J310" s="5"/>
      <c r="K310" s="28"/>
      <c r="L310" s="5" t="s">
        <v>112</v>
      </c>
      <c r="M310" s="5"/>
      <c r="N310" s="59"/>
      <c r="O310" s="5"/>
      <c r="P310" s="11"/>
      <c r="Q310" s="5" t="str">
        <f>IF(back!B272=0," ",back!B272)</f>
        <v xml:space="preserve"> </v>
      </c>
      <c r="R310" s="5"/>
      <c r="S310" s="5"/>
      <c r="T310" s="5"/>
      <c r="U310" s="5"/>
      <c r="V310" s="5"/>
      <c r="W310" s="148"/>
      <c r="X310" s="148"/>
      <c r="Y310" s="148"/>
      <c r="Z310" s="148"/>
      <c r="AA310" s="5"/>
      <c r="AB310" s="5"/>
      <c r="AC310" s="5"/>
      <c r="AD310" s="5"/>
      <c r="AH310" s="5"/>
      <c r="AI310" s="5"/>
      <c r="AJ310" s="5"/>
      <c r="AK310" s="5"/>
      <c r="AL310" s="5"/>
      <c r="AM310" s="23"/>
      <c r="AN310" s="37"/>
      <c r="AO310" s="3">
        <f>back!C363</f>
        <v>100</v>
      </c>
      <c r="AP310" s="3" t="e">
        <f>back!B189</f>
        <v>#VALUE!</v>
      </c>
    </row>
    <row r="311" spans="1:42" x14ac:dyDescent="0.2">
      <c r="A311" s="11"/>
      <c r="B311" s="11"/>
      <c r="C311" s="5"/>
      <c r="D311" s="11"/>
      <c r="E311" s="5"/>
      <c r="F311" s="5"/>
      <c r="G311" s="5"/>
      <c r="H311" s="5"/>
      <c r="I311" s="5"/>
      <c r="J311" s="5"/>
      <c r="K311" s="28"/>
      <c r="L311" s="5" t="s">
        <v>113</v>
      </c>
      <c r="M311" s="5"/>
      <c r="N311" s="59"/>
      <c r="O311" s="5"/>
      <c r="P311" s="11"/>
      <c r="Q311" s="5" t="str">
        <f>IF(back!B273=0," ",back!B273)</f>
        <v xml:space="preserve"> </v>
      </c>
      <c r="R311" s="5"/>
      <c r="S311" s="5"/>
      <c r="T311" s="5"/>
      <c r="U311" s="5"/>
      <c r="V311" s="5"/>
      <c r="W311" s="148"/>
      <c r="X311" s="148"/>
      <c r="Y311" s="148"/>
      <c r="Z311" s="148"/>
      <c r="AA311" s="5"/>
      <c r="AB311" s="5"/>
      <c r="AC311" s="5"/>
      <c r="AD311" s="5"/>
      <c r="AH311" s="5"/>
      <c r="AI311" s="5"/>
      <c r="AJ311" s="5"/>
      <c r="AK311" s="5"/>
      <c r="AL311" s="5"/>
      <c r="AM311" s="23"/>
      <c r="AN311" s="37"/>
      <c r="AO311" s="3">
        <f>back!C364</f>
        <v>0</v>
      </c>
      <c r="AP311" s="3" t="e">
        <f>back!B190</f>
        <v>#VALUE!</v>
      </c>
    </row>
    <row r="312" spans="1:42" x14ac:dyDescent="0.2">
      <c r="A312" s="11"/>
      <c r="B312" s="11"/>
      <c r="C312" s="5"/>
      <c r="D312" s="11"/>
      <c r="E312" s="5"/>
      <c r="F312" s="5"/>
      <c r="G312" s="5"/>
      <c r="H312" s="5"/>
      <c r="I312" s="5"/>
      <c r="J312" s="5"/>
      <c r="K312" s="28"/>
      <c r="L312" s="5" t="s">
        <v>114</v>
      </c>
      <c r="M312" s="5"/>
      <c r="N312" s="59"/>
      <c r="O312" s="5"/>
      <c r="P312" s="11"/>
      <c r="Q312" s="5" t="str">
        <f>IF(back!B274=0," ",back!B274)</f>
        <v xml:space="preserve"> </v>
      </c>
      <c r="R312" s="5"/>
      <c r="S312" s="5"/>
      <c r="T312" s="5"/>
      <c r="U312" s="5"/>
      <c r="V312" s="5"/>
      <c r="W312" s="148"/>
      <c r="X312" s="148"/>
      <c r="Y312" s="148"/>
      <c r="Z312" s="148"/>
      <c r="AA312" s="5"/>
      <c r="AB312" s="5"/>
      <c r="AC312" s="5"/>
      <c r="AD312" s="5"/>
      <c r="AH312" s="5"/>
      <c r="AI312" s="5"/>
      <c r="AJ312" s="5"/>
      <c r="AK312" s="5"/>
      <c r="AL312" s="5"/>
      <c r="AM312" s="23"/>
      <c r="AN312" s="37"/>
      <c r="AO312" s="3">
        <f>back!C365</f>
        <v>0</v>
      </c>
      <c r="AP312" s="3" t="e">
        <f>back!B191</f>
        <v>#VALUE!</v>
      </c>
    </row>
    <row r="313" spans="1:42" x14ac:dyDescent="0.2">
      <c r="A313" s="11"/>
      <c r="B313" s="11"/>
      <c r="C313" s="5"/>
      <c r="D313" s="11"/>
      <c r="E313" s="5"/>
      <c r="F313" s="5"/>
      <c r="G313" s="5"/>
      <c r="H313" s="5"/>
      <c r="I313" s="5"/>
      <c r="J313" s="5"/>
      <c r="K313" s="28"/>
      <c r="L313" s="5" t="s">
        <v>119</v>
      </c>
      <c r="M313" s="5"/>
      <c r="N313" s="59"/>
      <c r="O313" s="5"/>
      <c r="P313" s="11"/>
      <c r="Q313" s="5" t="str">
        <f>IF(back!B275=0," ",back!B275)</f>
        <v xml:space="preserve"> </v>
      </c>
      <c r="R313" s="5"/>
      <c r="S313" s="5"/>
      <c r="T313" s="5"/>
      <c r="U313" s="5"/>
      <c r="V313" s="5"/>
      <c r="W313" s="148"/>
      <c r="X313" s="148"/>
      <c r="Y313" s="148"/>
      <c r="Z313" s="148"/>
      <c r="AA313" s="5"/>
      <c r="AB313" s="5"/>
      <c r="AC313" s="5"/>
      <c r="AD313" s="5"/>
      <c r="AH313" s="5"/>
      <c r="AI313" s="5"/>
      <c r="AJ313" s="5"/>
      <c r="AK313" s="5"/>
      <c r="AL313" s="5"/>
      <c r="AM313" s="23"/>
      <c r="AN313" s="37"/>
      <c r="AO313" s="3">
        <f>back!C366</f>
        <v>0</v>
      </c>
      <c r="AP313" s="3" t="e">
        <f>back!B192</f>
        <v>#VALUE!</v>
      </c>
    </row>
    <row r="314" spans="1:42" x14ac:dyDescent="0.2">
      <c r="A314" s="11"/>
      <c r="B314" s="11"/>
      <c r="C314" s="5"/>
      <c r="D314" s="11"/>
      <c r="E314" s="5"/>
      <c r="F314" s="5"/>
      <c r="G314" s="5"/>
      <c r="H314" s="5"/>
      <c r="I314" s="5"/>
      <c r="J314" s="5"/>
      <c r="K314" s="28"/>
      <c r="L314" s="5" t="s">
        <v>120</v>
      </c>
      <c r="M314" s="5"/>
      <c r="N314" s="59"/>
      <c r="O314" s="5"/>
      <c r="P314" s="11"/>
      <c r="Q314" s="5" t="str">
        <f>IF(back!B276=0," ",back!B276)</f>
        <v xml:space="preserve"> </v>
      </c>
      <c r="R314" s="5"/>
      <c r="S314" s="5"/>
      <c r="T314" s="5"/>
      <c r="U314" s="5"/>
      <c r="V314" s="5"/>
      <c r="W314" s="148"/>
      <c r="X314" s="148"/>
      <c r="Y314" s="148"/>
      <c r="Z314" s="148"/>
      <c r="AA314" s="5"/>
      <c r="AB314" s="5"/>
      <c r="AC314" s="5"/>
      <c r="AD314" s="5"/>
      <c r="AH314" s="5"/>
      <c r="AI314" s="5"/>
      <c r="AJ314" s="5"/>
      <c r="AK314" s="5"/>
      <c r="AL314" s="5"/>
      <c r="AM314" s="23"/>
      <c r="AN314" s="37"/>
      <c r="AO314" s="3">
        <f>back!C367</f>
        <v>0</v>
      </c>
      <c r="AP314" s="3" t="e">
        <f>back!B193</f>
        <v>#VALUE!</v>
      </c>
    </row>
    <row r="315" spans="1:42" x14ac:dyDescent="0.2">
      <c r="A315" s="11"/>
      <c r="B315" s="11"/>
      <c r="C315" s="5"/>
      <c r="D315" s="11"/>
      <c r="E315" s="5"/>
      <c r="F315" s="5"/>
      <c r="G315" s="5"/>
      <c r="H315" s="5"/>
      <c r="I315" s="5"/>
      <c r="J315" s="5"/>
      <c r="K315" s="28"/>
      <c r="L315" s="5" t="s">
        <v>121</v>
      </c>
      <c r="M315" s="5"/>
      <c r="N315" s="59"/>
      <c r="O315" s="5"/>
      <c r="P315" s="11"/>
      <c r="Q315" s="5" t="str">
        <f>IF(back!B277=0," ",back!B277)</f>
        <v xml:space="preserve"> </v>
      </c>
      <c r="R315" s="5"/>
      <c r="S315" s="5"/>
      <c r="T315" s="5"/>
      <c r="U315" s="5"/>
      <c r="V315" s="5"/>
      <c r="W315" s="148"/>
      <c r="X315" s="148"/>
      <c r="Y315" s="148"/>
      <c r="Z315" s="148"/>
      <c r="AA315" s="5"/>
      <c r="AB315" s="5"/>
      <c r="AC315" s="5"/>
      <c r="AD315" s="5"/>
      <c r="AH315" s="5"/>
      <c r="AI315" s="5"/>
      <c r="AJ315" s="5"/>
      <c r="AK315" s="5"/>
      <c r="AL315" s="5"/>
      <c r="AM315" s="23"/>
      <c r="AN315" s="37"/>
      <c r="AO315" s="3">
        <f>back!C368</f>
        <v>0</v>
      </c>
      <c r="AP315" s="3" t="e">
        <f>back!B194</f>
        <v>#VALUE!</v>
      </c>
    </row>
    <row r="316" spans="1:42" x14ac:dyDescent="0.2">
      <c r="A316" s="11"/>
      <c r="B316" s="11"/>
      <c r="C316" s="5"/>
      <c r="D316" s="11"/>
      <c r="E316" s="5"/>
      <c r="F316" s="5"/>
      <c r="G316" s="5"/>
      <c r="H316" s="5"/>
      <c r="I316" s="5"/>
      <c r="J316" s="5"/>
      <c r="K316" s="5"/>
      <c r="L316" s="5"/>
      <c r="M316" s="5"/>
      <c r="N316" s="59"/>
      <c r="O316" s="5"/>
      <c r="P316" s="11"/>
      <c r="Q316" s="5" t="str">
        <f>IF(back!B278=0," ",back!B278)</f>
        <v xml:space="preserve"> </v>
      </c>
      <c r="R316" s="5"/>
      <c r="S316" s="5"/>
      <c r="T316" s="5"/>
      <c r="U316" s="5"/>
      <c r="V316" s="5"/>
      <c r="W316" s="148"/>
      <c r="X316" s="148"/>
      <c r="Y316" s="148"/>
      <c r="Z316" s="148"/>
      <c r="AA316" s="5"/>
      <c r="AB316" s="5"/>
      <c r="AC316" s="5"/>
      <c r="AD316" s="5"/>
      <c r="AH316" s="5"/>
      <c r="AI316" s="5"/>
      <c r="AJ316" s="5"/>
      <c r="AK316" s="5"/>
      <c r="AL316" s="5"/>
      <c r="AM316" s="23"/>
      <c r="AN316" s="37"/>
      <c r="AO316" s="3">
        <f>back!C369</f>
        <v>0</v>
      </c>
      <c r="AP316" s="3" t="e">
        <f>back!B195</f>
        <v>#VALUE!</v>
      </c>
    </row>
    <row r="317" spans="1:42" x14ac:dyDescent="0.2">
      <c r="A317" s="11"/>
      <c r="B317" s="11"/>
      <c r="C317" s="5"/>
      <c r="D317" s="11"/>
      <c r="E317" s="5"/>
      <c r="F317" s="5"/>
      <c r="G317" s="5"/>
      <c r="H317" s="5"/>
      <c r="I317" s="5"/>
      <c r="J317" s="5"/>
      <c r="K317" s="5"/>
      <c r="L317" s="5"/>
      <c r="M317" s="5"/>
      <c r="N317" s="59"/>
      <c r="O317" s="5"/>
      <c r="P317" s="11"/>
      <c r="Q317" s="5"/>
      <c r="R317" s="5"/>
      <c r="S317" s="5"/>
      <c r="T317" s="5"/>
      <c r="U317" s="5"/>
      <c r="V317" s="5"/>
      <c r="W317" s="5"/>
      <c r="X317" s="5"/>
      <c r="Y317" s="5"/>
      <c r="Z317" s="59"/>
      <c r="AA317" s="5"/>
      <c r="AB317" s="5"/>
      <c r="AC317" s="5"/>
      <c r="AD317" s="5"/>
      <c r="AH317" s="5"/>
      <c r="AI317" s="5"/>
      <c r="AJ317" s="5"/>
      <c r="AK317" s="5"/>
      <c r="AL317" s="5"/>
      <c r="AM317" s="23"/>
      <c r="AN317" s="37"/>
      <c r="AP317" s="3" t="e">
        <f>back!B196</f>
        <v>#VALUE!</v>
      </c>
    </row>
    <row r="318" spans="1:42" x14ac:dyDescent="0.2">
      <c r="A318" s="11"/>
      <c r="B318" s="11"/>
      <c r="C318" s="5"/>
      <c r="D318" s="11" t="str">
        <f>IF(back!C165=2,"PCN"," ")</f>
        <v xml:space="preserve"> </v>
      </c>
      <c r="E318" s="5"/>
      <c r="F318" s="5"/>
      <c r="G318" s="5"/>
      <c r="H318" s="5"/>
      <c r="I318" s="70"/>
      <c r="J318" s="70"/>
      <c r="K318" s="70"/>
      <c r="L318" s="70"/>
      <c r="M318" s="5"/>
      <c r="N318" s="59"/>
      <c r="O318" s="5"/>
      <c r="P318" s="11"/>
      <c r="Q318" s="5"/>
      <c r="R318" s="5"/>
      <c r="S318" s="5"/>
      <c r="T318" s="5"/>
      <c r="U318" s="5"/>
      <c r="V318" s="5"/>
      <c r="W318" s="5"/>
      <c r="X318" s="5"/>
      <c r="Y318" s="5"/>
      <c r="Z318" s="59"/>
      <c r="AA318" s="5"/>
      <c r="AB318" s="5"/>
      <c r="AC318" s="5"/>
      <c r="AD318" s="5"/>
      <c r="AH318" s="5"/>
      <c r="AI318" s="5"/>
      <c r="AJ318" s="5"/>
      <c r="AK318" s="5"/>
      <c r="AL318" s="5"/>
      <c r="AM318" s="23"/>
      <c r="AN318" s="37"/>
      <c r="AP318" s="3" t="e">
        <f>back!B197</f>
        <v>#VALUE!</v>
      </c>
    </row>
    <row r="319" spans="1:42" x14ac:dyDescent="0.2">
      <c r="A319" s="11"/>
      <c r="B319" s="11"/>
      <c r="C319" s="5"/>
      <c r="D319" s="11" t="str">
        <f>IF(back!C165=2,"Provider "," ")</f>
        <v xml:space="preserve"> </v>
      </c>
      <c r="E319" s="5"/>
      <c r="F319" s="5"/>
      <c r="G319" s="5"/>
      <c r="H319" s="5"/>
      <c r="I319" s="76"/>
      <c r="J319" s="76"/>
      <c r="K319" s="76"/>
      <c r="L319" s="76"/>
      <c r="M319" s="5"/>
      <c r="N319" s="59"/>
      <c r="O319" s="5"/>
      <c r="P319" s="11"/>
      <c r="Q319" s="5"/>
      <c r="R319" s="5"/>
      <c r="S319" s="5"/>
      <c r="T319" s="5"/>
      <c r="U319" s="5"/>
      <c r="V319" s="5"/>
      <c r="W319" s="5"/>
      <c r="X319" s="5"/>
      <c r="Y319" s="5"/>
      <c r="Z319" s="59"/>
      <c r="AA319" s="5"/>
      <c r="AB319" s="5"/>
      <c r="AC319" s="5"/>
      <c r="AD319" s="5"/>
      <c r="AH319" s="5"/>
      <c r="AI319" s="5"/>
      <c r="AJ319" s="5"/>
      <c r="AK319" s="5"/>
      <c r="AL319" s="5"/>
      <c r="AM319" s="23"/>
      <c r="AN319" s="37"/>
      <c r="AP319" s="3" t="e">
        <f>back!B198</f>
        <v>#VALUE!</v>
      </c>
    </row>
    <row r="320" spans="1:42" x14ac:dyDescent="0.2">
      <c r="A320" s="11"/>
      <c r="B320" s="11"/>
      <c r="C320" s="5"/>
      <c r="D320" s="24" t="str">
        <f>IF(AND(back!C165=2,back!G160=4),"SIRET"," ")</f>
        <v xml:space="preserve"> </v>
      </c>
      <c r="E320" s="14"/>
      <c r="F320" s="14"/>
      <c r="G320" s="14"/>
      <c r="H320" s="14"/>
      <c r="I320" s="149"/>
      <c r="J320" s="149"/>
      <c r="K320" s="149"/>
      <c r="L320" s="149"/>
      <c r="M320" s="14"/>
      <c r="N320" s="90"/>
      <c r="O320" s="5"/>
      <c r="P320" s="24"/>
      <c r="Q320" s="14"/>
      <c r="R320" s="14"/>
      <c r="S320" s="14"/>
      <c r="T320" s="14"/>
      <c r="U320" s="14"/>
      <c r="V320" s="14"/>
      <c r="W320" s="14"/>
      <c r="X320" s="14"/>
      <c r="Y320" s="14"/>
      <c r="Z320" s="90"/>
      <c r="AA320" s="5"/>
      <c r="AB320" s="5"/>
      <c r="AC320" s="5"/>
      <c r="AD320" s="5"/>
      <c r="AH320" s="5"/>
      <c r="AI320" s="5"/>
      <c r="AJ320" s="5"/>
      <c r="AK320" s="5"/>
      <c r="AL320" s="5"/>
      <c r="AM320" s="23"/>
      <c r="AN320" s="37"/>
      <c r="AP320" s="3" t="e">
        <f>back!B199</f>
        <v>#VALUE!</v>
      </c>
    </row>
    <row r="321" spans="1:42" x14ac:dyDescent="0.2">
      <c r="A321" s="11"/>
      <c r="B321" s="11"/>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H321" s="5"/>
      <c r="AI321" s="5"/>
      <c r="AJ321" s="5"/>
      <c r="AK321" s="5"/>
      <c r="AL321" s="5"/>
      <c r="AM321" s="23"/>
      <c r="AN321" s="37"/>
      <c r="AP321" s="3" t="e">
        <f>back!B200</f>
        <v>#VALUE!</v>
      </c>
    </row>
    <row r="322" spans="1:42" x14ac:dyDescent="0.2">
      <c r="A322" s="11"/>
      <c r="B322" s="11"/>
      <c r="C322" s="64" t="s">
        <v>222</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H322" s="5"/>
      <c r="AI322" s="5"/>
      <c r="AJ322" s="5"/>
      <c r="AK322" s="5"/>
      <c r="AL322" s="5"/>
      <c r="AM322" s="23"/>
      <c r="AN322" s="37"/>
      <c r="AP322" s="3" t="e">
        <f>back!B201</f>
        <v>#VALUE!</v>
      </c>
    </row>
    <row r="323" spans="1:42" x14ac:dyDescent="0.2">
      <c r="A323" s="11"/>
      <c r="B323" s="11"/>
      <c r="C323" s="5"/>
      <c r="D323" s="5"/>
      <c r="E323" s="5"/>
      <c r="F323" s="64"/>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23"/>
      <c r="AN323" s="37"/>
      <c r="AP323" s="3" t="e">
        <f>back!B202</f>
        <v>#VALUE!</v>
      </c>
    </row>
    <row r="324" spans="1:42" x14ac:dyDescent="0.2">
      <c r="A324" s="11"/>
      <c r="B324" s="11"/>
      <c r="C324" s="21" t="s">
        <v>223</v>
      </c>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23"/>
      <c r="AN324" s="37"/>
      <c r="AP324" s="3" t="e">
        <f>back!B203</f>
        <v>#VALUE!</v>
      </c>
    </row>
    <row r="325" spans="1:42" x14ac:dyDescent="0.2">
      <c r="A325" s="11"/>
      <c r="B325" s="36"/>
      <c r="C325" s="38" t="s">
        <v>25</v>
      </c>
      <c r="D325" s="27"/>
      <c r="E325" s="39" t="str">
        <f>IF(D325&lt;&gt;"","Please check the ‘+’ icon to the left and provide the necessary information","")</f>
        <v/>
      </c>
      <c r="F325" s="39"/>
      <c r="G325" s="39"/>
      <c r="H325" s="39"/>
      <c r="I325" s="37"/>
      <c r="J325" s="37"/>
      <c r="L325" s="13"/>
      <c r="M325" s="37"/>
      <c r="N325" s="37"/>
      <c r="O325" s="37"/>
      <c r="P325" s="37"/>
      <c r="Q325" s="37"/>
      <c r="R325" s="37"/>
      <c r="S325" s="37"/>
      <c r="T325" s="37"/>
      <c r="U325" s="37"/>
      <c r="V325" s="40"/>
      <c r="W325" s="37"/>
      <c r="X325" s="37"/>
      <c r="Y325" s="37"/>
      <c r="Z325" s="37"/>
      <c r="AA325" s="37"/>
      <c r="AB325" s="37"/>
      <c r="AC325" s="37"/>
      <c r="AD325" s="37"/>
      <c r="AE325" s="5"/>
      <c r="AF325" s="5"/>
      <c r="AM325" s="23"/>
      <c r="AP325" s="3" t="e">
        <f>back!B204</f>
        <v>#VALUE!</v>
      </c>
    </row>
    <row r="326" spans="1:42" x14ac:dyDescent="0.2">
      <c r="A326" s="11"/>
      <c r="B326" s="36"/>
      <c r="C326" s="38" t="s">
        <v>27</v>
      </c>
      <c r="D326" s="28" t="s">
        <v>9</v>
      </c>
      <c r="E326" s="41"/>
      <c r="F326" s="42"/>
      <c r="G326" s="42"/>
      <c r="H326" s="42"/>
      <c r="I326" s="37"/>
      <c r="J326" s="37"/>
      <c r="L326" s="13"/>
      <c r="M326" s="37"/>
      <c r="N326" s="37"/>
      <c r="O326" s="37"/>
      <c r="P326" s="37"/>
      <c r="Q326" s="37"/>
      <c r="R326" s="37"/>
      <c r="S326" s="37"/>
      <c r="T326" s="37"/>
      <c r="U326" s="37"/>
      <c r="V326" s="37"/>
      <c r="W326" s="37"/>
      <c r="X326" s="37"/>
      <c r="Y326" s="37"/>
      <c r="Z326" s="37"/>
      <c r="AA326" s="37"/>
      <c r="AB326" s="37"/>
      <c r="AC326" s="37"/>
      <c r="AD326" s="37"/>
      <c r="AE326" s="5"/>
      <c r="AF326" s="5"/>
      <c r="AM326" s="23"/>
      <c r="AP326" s="3" t="e">
        <f>back!B207</f>
        <v>#VALUE!</v>
      </c>
    </row>
    <row r="327" spans="1:42" x14ac:dyDescent="0.2">
      <c r="A327" s="11"/>
      <c r="B327" s="11"/>
      <c r="C327" s="61"/>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23"/>
      <c r="AN327" s="37"/>
      <c r="AP327" s="3" t="e">
        <f>back!B208</f>
        <v>#VALUE!</v>
      </c>
    </row>
    <row r="328" spans="1:42" x14ac:dyDescent="0.2">
      <c r="A328" s="11"/>
      <c r="B328" s="11"/>
      <c r="C328" s="61"/>
      <c r="D328" s="28"/>
      <c r="E328" s="5" t="s">
        <v>224</v>
      </c>
      <c r="F328" s="5"/>
      <c r="G328" s="150" t="str">
        <f>IF(D328&lt;&gt;"","(Please fill in the additional IP details at the line: Do you require a Back-up service, or multiple Ethernet interfaces?)","")</f>
        <v/>
      </c>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23"/>
      <c r="AN328" s="37"/>
      <c r="AP328" s="3" t="e">
        <f>back!B209</f>
        <v>#VALUE!</v>
      </c>
    </row>
    <row r="329" spans="1:42" x14ac:dyDescent="0.2">
      <c r="A329" s="11"/>
      <c r="B329" s="11"/>
      <c r="C329" s="61"/>
      <c r="D329" s="28" t="s">
        <v>9</v>
      </c>
      <c r="E329" s="5" t="s">
        <v>225</v>
      </c>
      <c r="F329" s="5"/>
      <c r="G329" s="21"/>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23"/>
      <c r="AN329" s="37"/>
      <c r="AP329" s="3" t="e">
        <f>back!B210</f>
        <v>#VALUE!</v>
      </c>
    </row>
    <row r="330" spans="1:42" x14ac:dyDescent="0.2">
      <c r="A330" s="11"/>
      <c r="B330" s="11"/>
      <c r="C330" s="61"/>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23"/>
      <c r="AN330" s="37"/>
      <c r="AP330" s="3" t="e">
        <f>back!B211</f>
        <v>#VALUE!</v>
      </c>
    </row>
    <row r="331" spans="1:42" x14ac:dyDescent="0.2">
      <c r="A331" s="11"/>
      <c r="B331" s="11"/>
      <c r="C331" s="61"/>
      <c r="D331" s="67" t="s">
        <v>226</v>
      </c>
      <c r="E331" s="27"/>
      <c r="F331" s="39" t="str">
        <f>IF(E331&lt;&gt;"","Colt will provide the SIM. This service does only support 3G","")</f>
        <v/>
      </c>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23"/>
      <c r="AN331" s="37"/>
      <c r="AP331" s="3" t="e">
        <f>back!B212</f>
        <v>#VALUE!</v>
      </c>
    </row>
    <row r="332" spans="1:42" x14ac:dyDescent="0.2">
      <c r="A332" s="11"/>
      <c r="B332" s="11"/>
      <c r="C332" s="61"/>
      <c r="D332" s="67" t="s">
        <v>227</v>
      </c>
      <c r="E332" s="28" t="s">
        <v>9</v>
      </c>
      <c r="F332" s="39" t="str">
        <f>IF(E332&lt;&gt;"","Please check the ‘+’ icon to the left and provide the necessary information","")</f>
        <v>Please check the ‘+’ icon to the left and provide the necessary information</v>
      </c>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23"/>
      <c r="AN332" s="37"/>
      <c r="AP332" s="3" t="e">
        <f>back!B213</f>
        <v>#VALUE!</v>
      </c>
    </row>
    <row r="333" spans="1:42" x14ac:dyDescent="0.2">
      <c r="A333" s="11"/>
      <c r="B333" s="11"/>
      <c r="C333" s="61"/>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23"/>
      <c r="AN333" s="37"/>
      <c r="AP333" s="3" t="e">
        <f>back!B214</f>
        <v>#VALUE!</v>
      </c>
    </row>
    <row r="334" spans="1:42" x14ac:dyDescent="0.2">
      <c r="A334" s="11"/>
      <c r="B334" s="11"/>
      <c r="C334" s="29" t="s">
        <v>15</v>
      </c>
      <c r="D334" s="13" t="s">
        <v>228</v>
      </c>
      <c r="E334" s="5"/>
      <c r="F334" s="37"/>
      <c r="G334" s="37"/>
      <c r="H334" s="37"/>
      <c r="I334" s="37"/>
      <c r="J334" s="37"/>
      <c r="K334" s="37"/>
      <c r="L334" s="37"/>
      <c r="M334" s="37"/>
      <c r="N334" s="37"/>
      <c r="O334" s="37"/>
      <c r="P334" s="37"/>
      <c r="Q334" s="37"/>
      <c r="R334" s="37"/>
      <c r="S334" s="37"/>
      <c r="T334" s="37"/>
      <c r="U334" s="37"/>
      <c r="V334" s="37"/>
      <c r="W334" s="37"/>
      <c r="X334" s="37"/>
      <c r="Y334" s="37"/>
      <c r="Z334" s="37"/>
      <c r="AA334" s="5"/>
      <c r="AB334" s="5"/>
      <c r="AC334" s="5"/>
      <c r="AD334" s="5"/>
      <c r="AE334" s="5"/>
      <c r="AF334" s="5"/>
      <c r="AG334" s="5"/>
      <c r="AH334" s="5"/>
      <c r="AI334" s="5"/>
      <c r="AM334" s="23"/>
      <c r="AN334" s="37"/>
      <c r="AP334" s="3" t="e">
        <f>back!B215</f>
        <v>#VALUE!</v>
      </c>
    </row>
    <row r="335" spans="1:42" x14ac:dyDescent="0.2">
      <c r="A335" s="11"/>
      <c r="B335" s="11"/>
      <c r="C335" s="37"/>
      <c r="D335" s="5" t="s">
        <v>229</v>
      </c>
      <c r="E335" s="5"/>
      <c r="F335" s="37"/>
      <c r="G335" s="37"/>
      <c r="H335" s="37"/>
      <c r="I335" s="37"/>
      <c r="J335" s="37"/>
      <c r="L335" s="151"/>
      <c r="M335" s="151"/>
      <c r="N335" s="151"/>
      <c r="O335" s="151"/>
      <c r="P335" s="37"/>
      <c r="Q335" s="37"/>
      <c r="R335" s="37"/>
      <c r="S335" s="37"/>
      <c r="T335" s="37"/>
      <c r="U335" s="37"/>
      <c r="V335" s="37"/>
      <c r="W335" s="37"/>
      <c r="X335" s="37"/>
      <c r="Y335" s="37"/>
      <c r="Z335" s="37"/>
      <c r="AA335" s="5"/>
      <c r="AB335" s="5"/>
      <c r="AC335" s="5"/>
      <c r="AD335" s="5"/>
      <c r="AE335" s="5"/>
      <c r="AF335" s="5"/>
      <c r="AG335" s="5"/>
      <c r="AH335" s="5"/>
      <c r="AI335" s="5"/>
      <c r="AM335" s="23"/>
      <c r="AN335" s="37"/>
      <c r="AP335" s="3" t="e">
        <f>back!B216</f>
        <v>#VALUE!</v>
      </c>
    </row>
    <row r="336" spans="1:42" x14ac:dyDescent="0.2">
      <c r="A336" s="11"/>
      <c r="B336" s="11"/>
      <c r="C336" s="37"/>
      <c r="D336" s="5"/>
      <c r="E336" s="5"/>
      <c r="F336" s="37"/>
      <c r="G336" s="37"/>
      <c r="H336" s="37"/>
      <c r="I336" s="37"/>
      <c r="J336" s="37"/>
      <c r="K336" s="37"/>
      <c r="L336" s="37"/>
      <c r="M336" s="37"/>
      <c r="N336" s="37"/>
      <c r="O336" s="37"/>
      <c r="P336" s="37"/>
      <c r="Q336" s="37"/>
      <c r="R336" s="37"/>
      <c r="S336" s="37"/>
      <c r="T336" s="37"/>
      <c r="U336" s="37"/>
      <c r="V336" s="37"/>
      <c r="W336" s="37"/>
      <c r="X336" s="37"/>
      <c r="Y336" s="37"/>
      <c r="Z336" s="37"/>
      <c r="AA336" s="5"/>
      <c r="AB336" s="5"/>
      <c r="AC336" s="5"/>
      <c r="AD336" s="5"/>
      <c r="AE336" s="5"/>
      <c r="AF336" s="5"/>
      <c r="AG336" s="5"/>
      <c r="AH336" s="5"/>
      <c r="AI336" s="5"/>
      <c r="AM336" s="23"/>
      <c r="AN336" s="37"/>
      <c r="AP336" s="3" t="e">
        <f>back!B217</f>
        <v>#VALUE!</v>
      </c>
    </row>
    <row r="337" spans="1:42" x14ac:dyDescent="0.2">
      <c r="A337" s="11"/>
      <c r="B337" s="11"/>
      <c r="C337" s="37"/>
      <c r="D337" s="5" t="s">
        <v>230</v>
      </c>
      <c r="E337" s="5"/>
      <c r="F337" s="37"/>
      <c r="G337" s="37"/>
      <c r="H337" s="37"/>
      <c r="L337" s="27"/>
      <c r="M337" s="5" t="s">
        <v>231</v>
      </c>
      <c r="N337" s="5"/>
      <c r="O337" s="37"/>
      <c r="P337" s="37"/>
      <c r="Q337" s="37"/>
      <c r="R337" s="5"/>
      <c r="S337" s="5"/>
      <c r="T337" s="5"/>
      <c r="U337" s="37"/>
      <c r="V337" s="37"/>
      <c r="W337" s="37"/>
      <c r="X337" s="37"/>
      <c r="Y337" s="37"/>
      <c r="AA337" s="37"/>
      <c r="AB337" s="5"/>
      <c r="AC337" s="5"/>
      <c r="AD337" s="5"/>
      <c r="AE337" s="5"/>
      <c r="AF337" s="5"/>
      <c r="AG337" s="5"/>
      <c r="AH337" s="5"/>
      <c r="AI337" s="5"/>
      <c r="AM337" s="23"/>
      <c r="AN337" s="37"/>
      <c r="AP337" s="3" t="e">
        <f>back!B218</f>
        <v>#VALUE!</v>
      </c>
    </row>
    <row r="338" spans="1:42" x14ac:dyDescent="0.2">
      <c r="A338" s="11"/>
      <c r="B338" s="11"/>
      <c r="C338" s="37"/>
      <c r="D338" s="5"/>
      <c r="E338" s="37"/>
      <c r="F338" s="37"/>
      <c r="G338" s="37"/>
      <c r="H338" s="37"/>
      <c r="L338" s="5"/>
      <c r="M338" s="5"/>
      <c r="N338" s="5"/>
      <c r="O338" s="37"/>
      <c r="P338" s="37"/>
      <c r="Q338" s="37"/>
      <c r="R338" s="37"/>
      <c r="S338" s="37"/>
      <c r="T338" s="37"/>
      <c r="U338" s="37"/>
      <c r="V338" s="37"/>
      <c r="W338" s="37"/>
      <c r="X338" s="37"/>
      <c r="Y338" s="37"/>
      <c r="AA338" s="37"/>
      <c r="AB338" s="5"/>
      <c r="AC338" s="5"/>
      <c r="AD338" s="5"/>
      <c r="AE338" s="5"/>
      <c r="AF338" s="5"/>
      <c r="AG338" s="5"/>
      <c r="AH338" s="5"/>
      <c r="AI338" s="5"/>
      <c r="AM338" s="23"/>
      <c r="AN338" s="37"/>
      <c r="AP338" s="3" t="e">
        <f>back!B219</f>
        <v>#VALUE!</v>
      </c>
    </row>
    <row r="339" spans="1:42" x14ac:dyDescent="0.2">
      <c r="A339" s="11"/>
      <c r="B339" s="11"/>
      <c r="C339" s="37"/>
      <c r="D339" s="37"/>
      <c r="E339" s="37"/>
      <c r="F339" s="37"/>
      <c r="G339" s="37"/>
      <c r="H339" s="37"/>
      <c r="L339" s="27"/>
      <c r="M339" s="5" t="s">
        <v>232</v>
      </c>
      <c r="N339" s="5"/>
      <c r="O339" s="37"/>
      <c r="P339" s="37"/>
      <c r="Q339" s="37"/>
      <c r="R339" s="37"/>
      <c r="S339" s="37"/>
      <c r="T339" s="37"/>
      <c r="U339" s="37"/>
      <c r="V339" s="37"/>
      <c r="W339" s="37"/>
      <c r="X339" s="37"/>
      <c r="Y339" s="37"/>
      <c r="AA339" s="37"/>
      <c r="AB339" s="5"/>
      <c r="AC339" s="5"/>
      <c r="AD339" s="5"/>
      <c r="AE339" s="5"/>
      <c r="AF339" s="5"/>
      <c r="AG339" s="5"/>
      <c r="AH339" s="5"/>
      <c r="AI339" s="5"/>
      <c r="AM339" s="23"/>
      <c r="AN339" s="37"/>
      <c r="AP339" s="3" t="e">
        <f>back!B220</f>
        <v>#VALUE!</v>
      </c>
    </row>
    <row r="340" spans="1:42" x14ac:dyDescent="0.2">
      <c r="A340" s="11"/>
      <c r="B340" s="11"/>
      <c r="C340" s="37"/>
      <c r="D340" s="37"/>
      <c r="E340" s="37"/>
      <c r="F340" s="37"/>
      <c r="G340" s="37"/>
      <c r="H340" s="37"/>
      <c r="L340" s="31"/>
      <c r="M340" s="29" t="s">
        <v>15</v>
      </c>
      <c r="N340" s="5" t="s">
        <v>233</v>
      </c>
      <c r="O340" s="37"/>
      <c r="P340" s="37"/>
      <c r="Q340" s="37"/>
      <c r="R340" s="37"/>
      <c r="S340" s="37"/>
      <c r="T340" s="37"/>
      <c r="U340" s="37"/>
      <c r="V340" s="111"/>
      <c r="W340" s="112"/>
      <c r="X340" s="112"/>
      <c r="Y340" s="113"/>
      <c r="AA340" s="37"/>
      <c r="AB340" s="5"/>
      <c r="AC340" s="5"/>
      <c r="AD340" s="5"/>
      <c r="AE340" s="5"/>
      <c r="AF340" s="5"/>
      <c r="AG340" s="5"/>
      <c r="AH340" s="5"/>
      <c r="AI340" s="5"/>
      <c r="AM340" s="23"/>
      <c r="AN340" s="37"/>
      <c r="AP340" s="3" t="e">
        <f>back!B221</f>
        <v>#VALUE!</v>
      </c>
    </row>
    <row r="341" spans="1:42" x14ac:dyDescent="0.2">
      <c r="A341" s="11"/>
      <c r="B341" s="11"/>
      <c r="C341" s="29" t="s">
        <v>15</v>
      </c>
      <c r="D341" s="21" t="s">
        <v>234</v>
      </c>
      <c r="E341" s="37"/>
      <c r="F341" s="37"/>
      <c r="G341" s="37"/>
      <c r="H341" s="37"/>
      <c r="I341" s="37"/>
      <c r="J341" s="37"/>
      <c r="K341" s="37"/>
      <c r="L341" s="37"/>
      <c r="M341" s="37"/>
      <c r="AM341" s="23"/>
      <c r="AN341" s="37"/>
      <c r="AP341" s="3" t="e">
        <f>back!B222</f>
        <v>#VALUE!</v>
      </c>
    </row>
    <row r="342" spans="1:42" x14ac:dyDescent="0.2">
      <c r="A342" s="11"/>
      <c r="B342" s="11"/>
      <c r="C342" s="37"/>
      <c r="D342" s="13" t="s">
        <v>235</v>
      </c>
      <c r="E342" s="37"/>
      <c r="F342" s="37"/>
      <c r="G342" s="37"/>
      <c r="H342" s="37"/>
      <c r="I342" s="37"/>
      <c r="J342" s="37"/>
      <c r="K342" s="37"/>
      <c r="L342" s="37"/>
      <c r="M342" s="37"/>
      <c r="AM342" s="23"/>
      <c r="AN342" s="37"/>
      <c r="AP342" s="3" t="e">
        <f>back!B223</f>
        <v>#VALUE!</v>
      </c>
    </row>
    <row r="343" spans="1:42" x14ac:dyDescent="0.2">
      <c r="A343" s="11"/>
      <c r="B343" s="11"/>
      <c r="C343" s="37"/>
      <c r="D343" s="100"/>
      <c r="E343" s="37"/>
      <c r="F343" s="37"/>
      <c r="G343" s="37"/>
      <c r="H343" s="37"/>
      <c r="I343" s="37"/>
      <c r="J343" s="37"/>
      <c r="K343" s="37"/>
      <c r="L343" s="37"/>
      <c r="M343" s="37"/>
      <c r="AM343" s="23"/>
      <c r="AN343" s="37"/>
      <c r="AP343" s="3" t="e">
        <f>back!B224</f>
        <v>#VALUE!</v>
      </c>
    </row>
    <row r="344" spans="1:42" x14ac:dyDescent="0.2">
      <c r="A344" s="11"/>
      <c r="B344" s="11"/>
      <c r="C344" s="37"/>
      <c r="D344" s="37"/>
      <c r="E344" s="37"/>
      <c r="F344" s="5" t="s">
        <v>236</v>
      </c>
      <c r="G344" s="5"/>
      <c r="H344" s="5"/>
      <c r="I344" s="5"/>
      <c r="J344" s="5"/>
      <c r="K344" s="37"/>
      <c r="L344" s="37"/>
      <c r="M344" s="37"/>
      <c r="N344" s="37"/>
      <c r="O344" s="37"/>
      <c r="P344" s="37"/>
      <c r="Q344" s="37"/>
      <c r="R344" s="37"/>
      <c r="S344" s="37"/>
      <c r="T344" s="37"/>
      <c r="U344" s="37"/>
      <c r="V344" s="37"/>
      <c r="W344" s="37"/>
      <c r="X344" s="37"/>
      <c r="Y344" s="37"/>
      <c r="Z344" s="37"/>
      <c r="AA344" s="5"/>
      <c r="AB344" s="5"/>
      <c r="AC344" s="5"/>
      <c r="AD344" s="5"/>
      <c r="AE344" s="5"/>
      <c r="AF344" s="5"/>
      <c r="AG344" s="5"/>
      <c r="AH344" s="5"/>
      <c r="AI344" s="5"/>
      <c r="AM344" s="23"/>
      <c r="AN344" s="37"/>
      <c r="AP344" s="3" t="e">
        <f>back!B225</f>
        <v>#VALUE!</v>
      </c>
    </row>
    <row r="345" spans="1:42" x14ac:dyDescent="0.2">
      <c r="A345" s="11"/>
      <c r="B345" s="11"/>
      <c r="C345" s="37"/>
      <c r="F345" s="5"/>
      <c r="G345" s="5"/>
      <c r="H345" s="5"/>
      <c r="I345" s="5"/>
      <c r="J345" s="5"/>
      <c r="K345" s="67" t="s">
        <v>83</v>
      </c>
      <c r="L345" s="63" t="s">
        <v>64</v>
      </c>
      <c r="M345" s="70"/>
      <c r="N345" s="70"/>
      <c r="O345" s="70"/>
      <c r="P345" s="70"/>
      <c r="Q345" s="5"/>
      <c r="R345" s="5"/>
      <c r="S345" s="5"/>
      <c r="T345" s="5"/>
      <c r="U345" s="67" t="s">
        <v>86</v>
      </c>
      <c r="V345" s="143"/>
      <c r="W345" s="143"/>
      <c r="X345" s="143"/>
      <c r="Y345" s="143"/>
      <c r="AC345" s="5"/>
      <c r="AD345" s="5"/>
      <c r="AE345" s="5"/>
      <c r="AF345" s="5"/>
      <c r="AG345" s="5"/>
      <c r="AH345" s="5"/>
      <c r="AI345" s="5"/>
      <c r="AM345" s="23"/>
      <c r="AN345" s="37"/>
      <c r="AP345" s="3" t="e">
        <f>back!B226</f>
        <v>#VALUE!</v>
      </c>
    </row>
    <row r="346" spans="1:42" x14ac:dyDescent="0.2">
      <c r="A346" s="11"/>
      <c r="B346" s="11"/>
      <c r="C346" s="37"/>
      <c r="F346" s="5"/>
      <c r="G346" s="5"/>
      <c r="H346" s="5"/>
      <c r="I346" s="5"/>
      <c r="J346" s="5"/>
      <c r="K346" s="67" t="s">
        <v>89</v>
      </c>
      <c r="L346" s="5"/>
      <c r="M346" s="76"/>
      <c r="N346" s="76"/>
      <c r="O346" s="76"/>
      <c r="P346" s="76"/>
      <c r="Q346" s="5"/>
      <c r="R346" s="5"/>
      <c r="S346" s="5"/>
      <c r="T346" s="5"/>
      <c r="U346" s="67" t="s">
        <v>90</v>
      </c>
      <c r="V346" s="145"/>
      <c r="W346" s="145"/>
      <c r="X346" s="145"/>
      <c r="Y346" s="145"/>
      <c r="AC346" s="5"/>
      <c r="AD346" s="5"/>
      <c r="AE346" s="5"/>
      <c r="AF346" s="5"/>
      <c r="AG346" s="5"/>
      <c r="AH346" s="5"/>
      <c r="AI346" s="5"/>
      <c r="AM346" s="23"/>
      <c r="AN346" s="37"/>
      <c r="AP346" s="3" t="e">
        <f>back!B227</f>
        <v>#VALUE!</v>
      </c>
    </row>
    <row r="347" spans="1:42" x14ac:dyDescent="0.2">
      <c r="A347" s="11"/>
      <c r="B347" s="11"/>
      <c r="C347" s="37"/>
      <c r="F347" s="5"/>
      <c r="G347" s="5"/>
      <c r="H347" s="5"/>
      <c r="I347" s="5"/>
      <c r="J347" s="5"/>
      <c r="K347" s="67" t="s">
        <v>92</v>
      </c>
      <c r="L347" s="5"/>
      <c r="M347" s="76"/>
      <c r="N347" s="76"/>
      <c r="O347" s="76"/>
      <c r="P347" s="76"/>
      <c r="Q347" s="5"/>
      <c r="R347" s="5"/>
      <c r="S347" s="5"/>
      <c r="T347" s="5"/>
      <c r="U347" s="67" t="s">
        <v>94</v>
      </c>
      <c r="V347" s="145"/>
      <c r="W347" s="145"/>
      <c r="X347" s="145"/>
      <c r="Y347" s="145"/>
      <c r="AC347" s="5"/>
      <c r="AD347" s="5"/>
      <c r="AE347" s="5"/>
      <c r="AF347" s="5"/>
      <c r="AG347" s="5"/>
      <c r="AH347" s="5"/>
      <c r="AI347" s="5"/>
      <c r="AM347" s="23"/>
      <c r="AN347" s="37"/>
      <c r="AP347" s="3" t="e">
        <f>back!B228</f>
        <v>#VALUE!</v>
      </c>
    </row>
    <row r="348" spans="1:42" x14ac:dyDescent="0.2">
      <c r="A348" s="11"/>
      <c r="B348" s="11"/>
      <c r="C348" s="37"/>
      <c r="F348" s="5"/>
      <c r="G348" s="5"/>
      <c r="H348" s="5"/>
      <c r="I348" s="5"/>
      <c r="J348" s="5"/>
      <c r="K348" s="67" t="s">
        <v>95</v>
      </c>
      <c r="L348" s="5"/>
      <c r="M348" s="76"/>
      <c r="N348" s="76"/>
      <c r="O348" s="76"/>
      <c r="P348" s="76"/>
      <c r="Q348" s="5"/>
      <c r="R348" s="5"/>
      <c r="S348" s="5"/>
      <c r="T348" s="5"/>
      <c r="U348" s="5"/>
      <c r="V348" s="5"/>
      <c r="W348" s="5"/>
      <c r="X348" s="5"/>
      <c r="Y348" s="5"/>
      <c r="AC348" s="5"/>
      <c r="AD348" s="5"/>
      <c r="AE348" s="5"/>
      <c r="AF348" s="5"/>
      <c r="AG348" s="5"/>
      <c r="AH348" s="5"/>
      <c r="AI348" s="5"/>
      <c r="AM348" s="23"/>
      <c r="AN348" s="37"/>
      <c r="AP348" s="3" t="e">
        <f>back!B229</f>
        <v>#VALUE!</v>
      </c>
    </row>
    <row r="349" spans="1:42" x14ac:dyDescent="0.2">
      <c r="A349" s="11"/>
      <c r="B349" s="11"/>
      <c r="C349" s="37"/>
      <c r="D349" s="37"/>
      <c r="E349" s="37"/>
      <c r="F349" s="5"/>
      <c r="G349" s="5"/>
      <c r="H349" s="5"/>
      <c r="I349" s="5"/>
      <c r="J349" s="5"/>
      <c r="K349" s="37"/>
      <c r="L349" s="37"/>
      <c r="M349" s="37"/>
      <c r="N349" s="37"/>
      <c r="O349" s="37"/>
      <c r="P349" s="37"/>
      <c r="Q349" s="37"/>
      <c r="R349" s="37"/>
      <c r="S349" s="37"/>
      <c r="T349" s="37"/>
      <c r="U349" s="37"/>
      <c r="V349" s="37"/>
      <c r="W349" s="37"/>
      <c r="X349" s="37"/>
      <c r="Y349" s="37"/>
      <c r="Z349" s="37"/>
      <c r="AA349" s="5"/>
      <c r="AB349" s="5"/>
      <c r="AC349" s="5"/>
      <c r="AD349" s="5"/>
      <c r="AE349" s="5"/>
      <c r="AF349" s="5"/>
      <c r="AG349" s="5"/>
      <c r="AH349" s="5"/>
      <c r="AI349" s="5"/>
      <c r="AM349" s="23"/>
      <c r="AN349" s="37"/>
      <c r="AP349" s="3" t="e">
        <f>back!B230</f>
        <v>#VALUE!</v>
      </c>
    </row>
    <row r="350" spans="1:42" x14ac:dyDescent="0.2">
      <c r="A350" s="11"/>
      <c r="B350" s="11"/>
      <c r="C350" s="37"/>
      <c r="D350" s="37"/>
      <c r="E350" s="37"/>
      <c r="F350" s="5"/>
      <c r="G350" s="5"/>
      <c r="H350" s="5"/>
      <c r="I350" s="5"/>
      <c r="J350" s="5"/>
      <c r="K350" s="37"/>
      <c r="L350" s="37"/>
      <c r="M350" s="37"/>
      <c r="N350" s="37"/>
      <c r="O350" s="37"/>
      <c r="P350" s="37"/>
      <c r="Q350" s="37"/>
      <c r="R350" s="37"/>
      <c r="S350" s="37"/>
      <c r="T350" s="37"/>
      <c r="U350" s="37"/>
      <c r="V350" s="37"/>
      <c r="W350" s="37"/>
      <c r="X350" s="37"/>
      <c r="Y350" s="37"/>
      <c r="Z350" s="37"/>
      <c r="AA350" s="5"/>
      <c r="AB350" s="5"/>
      <c r="AC350" s="5"/>
      <c r="AD350" s="5"/>
      <c r="AE350" s="5"/>
      <c r="AF350" s="5"/>
      <c r="AG350" s="5"/>
      <c r="AH350" s="5"/>
      <c r="AI350" s="5"/>
      <c r="AM350" s="23"/>
      <c r="AN350" s="37"/>
      <c r="AP350" s="3" t="e">
        <f>back!B231</f>
        <v>#VALUE!</v>
      </c>
    </row>
    <row r="351" spans="1:42" x14ac:dyDescent="0.2">
      <c r="A351" s="11"/>
      <c r="B351" s="11"/>
      <c r="C351" s="37"/>
      <c r="D351" s="37"/>
      <c r="E351" s="37"/>
      <c r="F351" s="5" t="s">
        <v>237</v>
      </c>
      <c r="G351" s="5"/>
      <c r="H351" s="5"/>
      <c r="I351" s="5"/>
      <c r="J351" s="5"/>
      <c r="K351" s="37"/>
      <c r="L351" s="37"/>
      <c r="M351" s="70"/>
      <c r="N351" s="70"/>
      <c r="O351" s="70"/>
      <c r="P351" s="70"/>
      <c r="Q351" s="37"/>
      <c r="R351" s="37"/>
      <c r="S351" s="37"/>
      <c r="T351" s="37"/>
      <c r="U351" s="37"/>
      <c r="V351" s="37"/>
      <c r="W351" s="37"/>
      <c r="X351" s="37"/>
      <c r="Y351" s="37"/>
      <c r="Z351" s="37"/>
      <c r="AA351" s="5"/>
      <c r="AB351" s="5"/>
      <c r="AC351" s="5"/>
      <c r="AD351" s="5"/>
      <c r="AE351" s="5"/>
      <c r="AF351" s="5"/>
      <c r="AG351" s="5"/>
      <c r="AH351" s="5"/>
      <c r="AI351" s="5"/>
      <c r="AM351" s="23"/>
      <c r="AN351" s="37"/>
      <c r="AP351" s="3" t="e">
        <f>back!B232</f>
        <v>#VALUE!</v>
      </c>
    </row>
    <row r="352" spans="1:42" x14ac:dyDescent="0.2">
      <c r="A352" s="11"/>
      <c r="B352" s="11"/>
      <c r="C352" s="37"/>
      <c r="D352" s="37"/>
      <c r="E352" s="37"/>
      <c r="F352" s="5"/>
      <c r="G352" s="5"/>
      <c r="H352" s="5"/>
      <c r="I352" s="5"/>
      <c r="J352" s="5"/>
      <c r="K352" s="37"/>
      <c r="L352" s="37"/>
      <c r="M352" s="37"/>
      <c r="N352" s="37"/>
      <c r="O352" s="37"/>
      <c r="P352" s="37"/>
      <c r="Q352" s="37"/>
      <c r="R352" s="37"/>
      <c r="S352" s="37"/>
      <c r="T352" s="37"/>
      <c r="U352" s="37"/>
      <c r="V352" s="37"/>
      <c r="W352" s="37"/>
      <c r="X352" s="37"/>
      <c r="Y352" s="37"/>
      <c r="Z352" s="37"/>
      <c r="AA352" s="5"/>
      <c r="AB352" s="5"/>
      <c r="AC352" s="5"/>
      <c r="AD352" s="5"/>
      <c r="AE352" s="5"/>
      <c r="AF352" s="5"/>
      <c r="AG352" s="5"/>
      <c r="AH352" s="5"/>
      <c r="AI352" s="5"/>
      <c r="AM352" s="23"/>
      <c r="AN352" s="37"/>
      <c r="AP352" s="3" t="e">
        <f>back!B233</f>
        <v>#VALUE!</v>
      </c>
    </row>
    <row r="353" spans="1:42" x14ac:dyDescent="0.2">
      <c r="A353" s="11"/>
      <c r="B353" s="11"/>
      <c r="C353" s="37"/>
      <c r="D353" s="37"/>
      <c r="E353" s="37"/>
      <c r="F353" s="37"/>
      <c r="G353" s="5" t="s">
        <v>238</v>
      </c>
      <c r="H353" s="5"/>
      <c r="I353" s="5"/>
      <c r="J353" s="5"/>
      <c r="K353" s="5"/>
      <c r="L353" s="37"/>
      <c r="M353" s="37"/>
      <c r="N353" s="70"/>
      <c r="O353" s="70"/>
      <c r="P353" s="70"/>
      <c r="Q353" s="70"/>
      <c r="R353" s="37"/>
      <c r="S353" s="37"/>
      <c r="T353" s="37"/>
      <c r="U353" s="37"/>
      <c r="V353" s="37"/>
      <c r="W353" s="37"/>
      <c r="X353" s="37"/>
      <c r="Y353" s="37"/>
      <c r="Z353" s="37"/>
      <c r="AA353" s="37"/>
      <c r="AB353" s="5"/>
      <c r="AC353" s="5"/>
      <c r="AD353" s="5"/>
      <c r="AE353" s="5"/>
      <c r="AF353" s="5"/>
      <c r="AG353" s="5"/>
      <c r="AH353" s="5"/>
      <c r="AI353" s="5"/>
      <c r="AJ353" s="5"/>
      <c r="AM353" s="23"/>
      <c r="AN353" s="37"/>
      <c r="AP353" s="3" t="e">
        <f>back!B234</f>
        <v>#VALUE!</v>
      </c>
    </row>
    <row r="354" spans="1:42" x14ac:dyDescent="0.2">
      <c r="A354" s="11"/>
      <c r="B354" s="11"/>
      <c r="C354" s="37"/>
      <c r="D354" s="37"/>
      <c r="E354" s="37"/>
      <c r="F354" s="37"/>
      <c r="G354" s="5"/>
      <c r="H354" s="5"/>
      <c r="I354" s="5"/>
      <c r="J354" s="5"/>
      <c r="K354" s="5"/>
      <c r="L354" s="37"/>
      <c r="M354" s="37"/>
      <c r="N354" s="37"/>
      <c r="O354" s="37"/>
      <c r="P354" s="37"/>
      <c r="Q354" s="37"/>
      <c r="R354" s="37"/>
      <c r="S354" s="37"/>
      <c r="T354" s="37"/>
      <c r="U354" s="37"/>
      <c r="V354" s="37"/>
      <c r="W354" s="37"/>
      <c r="X354" s="37"/>
      <c r="Y354" s="37"/>
      <c r="Z354" s="37"/>
      <c r="AA354" s="37"/>
      <c r="AB354" s="5"/>
      <c r="AC354" s="5"/>
      <c r="AD354" s="5"/>
      <c r="AE354" s="5"/>
      <c r="AF354" s="5"/>
      <c r="AG354" s="5"/>
      <c r="AH354" s="5"/>
      <c r="AI354" s="5"/>
      <c r="AJ354" s="5"/>
      <c r="AM354" s="23"/>
      <c r="AN354" s="37"/>
      <c r="AP354" s="3" t="e">
        <f>back!B235</f>
        <v>#VALUE!</v>
      </c>
    </row>
    <row r="355" spans="1:42" x14ac:dyDescent="0.2">
      <c r="A355" s="11"/>
      <c r="B355" s="11"/>
      <c r="C355" s="37"/>
      <c r="D355" s="37"/>
      <c r="E355" s="37"/>
      <c r="F355" s="37"/>
      <c r="G355" s="5" t="s">
        <v>239</v>
      </c>
      <c r="H355" s="5"/>
      <c r="I355" s="5"/>
      <c r="J355" s="5"/>
      <c r="K355" s="5"/>
      <c r="L355" s="37"/>
      <c r="M355" s="37"/>
      <c r="N355" s="27"/>
      <c r="O355" s="5" t="s">
        <v>240</v>
      </c>
      <c r="P355" s="37"/>
      <c r="Q355" s="37"/>
      <c r="R355" s="37"/>
      <c r="S355" s="37"/>
      <c r="T355" s="37"/>
      <c r="U355" s="37"/>
      <c r="V355" s="37"/>
      <c r="W355" s="37"/>
      <c r="X355" s="37"/>
      <c r="Y355" s="37"/>
      <c r="Z355" s="37"/>
      <c r="AA355" s="37"/>
      <c r="AB355" s="5"/>
      <c r="AC355" s="5"/>
      <c r="AD355" s="5"/>
      <c r="AE355" s="5"/>
      <c r="AF355" s="5"/>
      <c r="AG355" s="5"/>
      <c r="AH355" s="5"/>
      <c r="AI355" s="5"/>
      <c r="AJ355" s="5"/>
      <c r="AM355" s="23"/>
      <c r="AN355" s="37"/>
      <c r="AP355" s="3" t="e">
        <f>back!B236</f>
        <v>#VALUE!</v>
      </c>
    </row>
    <row r="356" spans="1:42" x14ac:dyDescent="0.2">
      <c r="A356" s="11"/>
      <c r="B356" s="11"/>
      <c r="C356" s="37"/>
      <c r="D356" s="37"/>
      <c r="E356" s="37"/>
      <c r="F356" s="37"/>
      <c r="G356" s="5"/>
      <c r="H356" s="5"/>
      <c r="I356" s="5"/>
      <c r="J356" s="5"/>
      <c r="K356" s="5"/>
      <c r="L356" s="37"/>
      <c r="M356" s="37"/>
      <c r="N356" s="28"/>
      <c r="O356" s="5" t="s">
        <v>241</v>
      </c>
      <c r="P356" s="37"/>
      <c r="Q356" s="37"/>
      <c r="R356" s="37"/>
      <c r="S356" s="37"/>
      <c r="T356" s="37"/>
      <c r="U356" s="37"/>
      <c r="V356" s="37"/>
      <c r="W356" s="37"/>
      <c r="X356" s="37"/>
      <c r="Y356" s="37"/>
      <c r="Z356" s="37"/>
      <c r="AA356" s="37"/>
      <c r="AB356" s="5"/>
      <c r="AC356" s="5"/>
      <c r="AD356" s="5"/>
      <c r="AE356" s="5"/>
      <c r="AF356" s="5"/>
      <c r="AG356" s="5"/>
      <c r="AH356" s="5"/>
      <c r="AI356" s="5"/>
      <c r="AJ356" s="5"/>
      <c r="AM356" s="23"/>
      <c r="AN356" s="37"/>
      <c r="AP356" s="3" t="e">
        <f>back!B237</f>
        <v>#VALUE!</v>
      </c>
    </row>
    <row r="357" spans="1:42" x14ac:dyDescent="0.2">
      <c r="A357" s="11"/>
      <c r="B357" s="11"/>
      <c r="C357" s="37"/>
      <c r="D357" s="37"/>
      <c r="E357" s="37"/>
      <c r="F357" s="37"/>
      <c r="G357" s="5"/>
      <c r="H357" s="5"/>
      <c r="I357" s="5"/>
      <c r="J357" s="5"/>
      <c r="K357" s="5"/>
      <c r="L357" s="37"/>
      <c r="M357" s="37"/>
      <c r="N357" s="37"/>
      <c r="O357" s="37"/>
      <c r="P357" s="37"/>
      <c r="Q357" s="37"/>
      <c r="R357" s="37"/>
      <c r="S357" s="37"/>
      <c r="T357" s="37"/>
      <c r="U357" s="37"/>
      <c r="V357" s="37"/>
      <c r="W357" s="37"/>
      <c r="X357" s="37"/>
      <c r="Y357" s="37"/>
      <c r="Z357" s="37"/>
      <c r="AA357" s="37"/>
      <c r="AB357" s="5"/>
      <c r="AC357" s="5"/>
      <c r="AD357" s="5"/>
      <c r="AE357" s="5"/>
      <c r="AF357" s="5"/>
      <c r="AG357" s="5"/>
      <c r="AH357" s="5"/>
      <c r="AI357" s="5"/>
      <c r="AJ357" s="5"/>
      <c r="AM357" s="23"/>
      <c r="AN357" s="37"/>
      <c r="AP357" s="3" t="e">
        <f>back!B238</f>
        <v>#VALUE!</v>
      </c>
    </row>
    <row r="358" spans="1:42" x14ac:dyDescent="0.2">
      <c r="A358" s="11"/>
      <c r="B358" s="11"/>
      <c r="C358" s="37"/>
      <c r="D358" s="37"/>
      <c r="E358" s="37"/>
      <c r="F358" s="37"/>
      <c r="G358" s="5" t="s">
        <v>242</v>
      </c>
      <c r="H358" s="5"/>
      <c r="I358" s="5"/>
      <c r="J358" s="5"/>
      <c r="K358" s="5"/>
      <c r="L358" s="37"/>
      <c r="M358" s="37"/>
      <c r="N358" s="70"/>
      <c r="O358" s="70"/>
      <c r="P358" s="70"/>
      <c r="Q358" s="70"/>
      <c r="R358" s="37"/>
      <c r="S358" s="37"/>
      <c r="T358" s="37"/>
      <c r="U358" s="37"/>
      <c r="V358" s="37"/>
      <c r="W358" s="37"/>
      <c r="X358" s="37"/>
      <c r="Y358" s="37"/>
      <c r="Z358" s="37"/>
      <c r="AA358" s="37"/>
      <c r="AB358" s="5"/>
      <c r="AC358" s="5"/>
      <c r="AD358" s="5"/>
      <c r="AE358" s="5"/>
      <c r="AF358" s="5"/>
      <c r="AG358" s="5"/>
      <c r="AH358" s="5"/>
      <c r="AI358" s="5"/>
      <c r="AJ358" s="5"/>
      <c r="AM358" s="23"/>
      <c r="AN358" s="37"/>
      <c r="AP358" s="3" t="e">
        <f>back!B239</f>
        <v>#VALUE!</v>
      </c>
    </row>
    <row r="359" spans="1:42" x14ac:dyDescent="0.2">
      <c r="A359" s="11"/>
      <c r="B359" s="11"/>
      <c r="C359" s="37"/>
      <c r="D359" s="37"/>
      <c r="E359" s="37"/>
      <c r="F359" s="37"/>
      <c r="G359" s="5"/>
      <c r="H359" s="5"/>
      <c r="I359" s="5"/>
      <c r="J359" s="5"/>
      <c r="K359" s="5"/>
      <c r="L359" s="37"/>
      <c r="M359" s="37"/>
      <c r="N359" s="37"/>
      <c r="O359" s="37"/>
      <c r="P359" s="37"/>
      <c r="Q359" s="37"/>
      <c r="R359" s="37"/>
      <c r="S359" s="37"/>
      <c r="T359" s="37"/>
      <c r="U359" s="37"/>
      <c r="V359" s="37"/>
      <c r="W359" s="37"/>
      <c r="X359" s="37"/>
      <c r="Y359" s="37"/>
      <c r="Z359" s="37"/>
      <c r="AA359" s="37"/>
      <c r="AB359" s="5"/>
      <c r="AC359" s="5"/>
      <c r="AD359" s="5"/>
      <c r="AE359" s="5"/>
      <c r="AF359" s="5"/>
      <c r="AG359" s="5"/>
      <c r="AH359" s="5"/>
      <c r="AI359" s="5"/>
      <c r="AJ359" s="5"/>
      <c r="AM359" s="23"/>
      <c r="AN359" s="37"/>
      <c r="AP359" s="3" t="e">
        <f>back!B240</f>
        <v>#VALUE!</v>
      </c>
    </row>
    <row r="360" spans="1:42" x14ac:dyDescent="0.2">
      <c r="A360" s="11"/>
      <c r="B360" s="11"/>
      <c r="C360" s="37"/>
      <c r="D360" s="37"/>
      <c r="E360" s="37"/>
      <c r="F360" s="37"/>
      <c r="G360" s="5" t="s">
        <v>243</v>
      </c>
      <c r="H360" s="5"/>
      <c r="I360" s="5"/>
      <c r="J360" s="5"/>
      <c r="K360" s="5"/>
      <c r="L360" s="37"/>
      <c r="M360" s="37"/>
      <c r="N360" s="70"/>
      <c r="O360" s="70"/>
      <c r="P360" s="70"/>
      <c r="Q360" s="70"/>
      <c r="R360" s="37"/>
      <c r="S360" s="37"/>
      <c r="T360" s="37"/>
      <c r="U360" s="37"/>
      <c r="V360" s="37"/>
      <c r="W360" s="37"/>
      <c r="X360" s="37"/>
      <c r="Y360" s="37"/>
      <c r="Z360" s="37"/>
      <c r="AA360" s="37"/>
      <c r="AB360" s="5"/>
      <c r="AC360" s="5"/>
      <c r="AD360" s="5"/>
      <c r="AE360" s="5"/>
      <c r="AF360" s="5"/>
      <c r="AG360" s="5"/>
      <c r="AH360" s="5"/>
      <c r="AI360" s="5"/>
      <c r="AJ360" s="5"/>
      <c r="AM360" s="23"/>
      <c r="AN360" s="37"/>
      <c r="AP360" s="3" t="e">
        <f>back!B241</f>
        <v>#VALUE!</v>
      </c>
    </row>
    <row r="361" spans="1:42" x14ac:dyDescent="0.2">
      <c r="A361" s="11"/>
      <c r="B361" s="11"/>
      <c r="C361" s="37"/>
      <c r="D361" s="37"/>
      <c r="E361" s="37"/>
      <c r="F361" s="37"/>
      <c r="G361" s="37"/>
      <c r="H361" s="37"/>
      <c r="I361" s="31"/>
      <c r="J361" s="37"/>
      <c r="K361" s="37"/>
      <c r="L361" s="37"/>
      <c r="M361" s="37"/>
      <c r="N361" s="37"/>
      <c r="O361" s="37"/>
      <c r="P361" s="37"/>
      <c r="Q361" s="37"/>
      <c r="R361" s="37"/>
      <c r="S361" s="37"/>
      <c r="T361" s="37"/>
      <c r="U361" s="37"/>
      <c r="V361" s="37"/>
      <c r="W361" s="37"/>
      <c r="X361" s="37"/>
      <c r="Y361" s="37"/>
      <c r="Z361" s="37"/>
      <c r="AA361" s="5"/>
      <c r="AB361" s="5"/>
      <c r="AC361" s="5"/>
      <c r="AD361" s="5"/>
      <c r="AE361" s="5"/>
      <c r="AF361" s="5"/>
      <c r="AG361" s="5"/>
      <c r="AH361" s="5"/>
      <c r="AI361" s="5"/>
      <c r="AM361" s="23"/>
      <c r="AN361" s="37"/>
      <c r="AP361" s="3" t="e">
        <f>back!B242</f>
        <v>#VALUE!</v>
      </c>
    </row>
    <row r="362" spans="1:42" x14ac:dyDescent="0.2">
      <c r="A362" s="11"/>
      <c r="B362" s="11"/>
      <c r="C362" s="37"/>
      <c r="D362" s="5" t="s">
        <v>244</v>
      </c>
      <c r="E362" s="37"/>
      <c r="F362" s="37"/>
      <c r="G362" s="37"/>
      <c r="H362" s="37"/>
      <c r="I362" s="31"/>
      <c r="J362" s="37"/>
      <c r="K362" s="37"/>
      <c r="L362" s="37"/>
      <c r="M362" s="37"/>
      <c r="N362" s="37"/>
      <c r="O362" s="37"/>
      <c r="P362" s="37"/>
      <c r="Q362" s="37"/>
      <c r="R362" s="37"/>
      <c r="S362" s="37"/>
      <c r="T362" s="37"/>
      <c r="U362" s="37"/>
      <c r="V362" s="37"/>
      <c r="W362" s="37"/>
      <c r="X362" s="37"/>
      <c r="Y362" s="37"/>
      <c r="Z362" s="37"/>
      <c r="AA362" s="5"/>
      <c r="AB362" s="5"/>
      <c r="AC362" s="5"/>
      <c r="AD362" s="5"/>
      <c r="AE362" s="5"/>
      <c r="AF362" s="5"/>
      <c r="AG362" s="5"/>
      <c r="AH362" s="5"/>
      <c r="AI362" s="5"/>
      <c r="AM362" s="23"/>
      <c r="AN362" s="37"/>
      <c r="AP362" s="3" t="e">
        <f>back!B243</f>
        <v>#VALUE!</v>
      </c>
    </row>
    <row r="363" spans="1:42" x14ac:dyDescent="0.2">
      <c r="A363" s="11"/>
      <c r="B363" s="11"/>
      <c r="C363" s="37"/>
      <c r="D363" s="13" t="s">
        <v>245</v>
      </c>
      <c r="E363" s="37"/>
      <c r="F363" s="37"/>
      <c r="G363" s="37"/>
      <c r="H363" s="37"/>
      <c r="I363" s="31"/>
      <c r="J363" s="37"/>
      <c r="K363" s="37"/>
      <c r="L363" s="37"/>
      <c r="M363" s="37"/>
      <c r="N363" s="37"/>
      <c r="O363" s="37"/>
      <c r="P363" s="37"/>
      <c r="Q363" s="37"/>
      <c r="R363" s="37"/>
      <c r="S363" s="37"/>
      <c r="T363" s="37"/>
      <c r="U363" s="37"/>
      <c r="V363" s="37"/>
      <c r="W363" s="37"/>
      <c r="X363" s="37"/>
      <c r="Y363" s="37"/>
      <c r="Z363" s="37"/>
      <c r="AA363" s="5"/>
      <c r="AB363" s="5"/>
      <c r="AC363" s="5"/>
      <c r="AD363" s="5"/>
      <c r="AE363" s="5"/>
      <c r="AF363" s="5"/>
      <c r="AG363" s="5"/>
      <c r="AH363" s="5"/>
      <c r="AI363" s="5"/>
      <c r="AM363" s="23"/>
      <c r="AN363" s="37"/>
      <c r="AP363" s="3" t="e">
        <f>back!B244</f>
        <v>#VALUE!</v>
      </c>
    </row>
    <row r="364" spans="1:42" x14ac:dyDescent="0.2">
      <c r="A364" s="11"/>
      <c r="B364" s="11"/>
      <c r="C364" s="37"/>
      <c r="D364" s="13" t="s">
        <v>246</v>
      </c>
      <c r="E364" s="37"/>
      <c r="F364" s="37"/>
      <c r="G364" s="37"/>
      <c r="H364" s="37"/>
      <c r="I364" s="31"/>
      <c r="J364" s="37"/>
      <c r="K364" s="37"/>
      <c r="L364" s="37"/>
      <c r="M364" s="37"/>
      <c r="N364" s="37"/>
      <c r="O364" s="37"/>
      <c r="P364" s="37"/>
      <c r="Q364" s="37"/>
      <c r="R364" s="37"/>
      <c r="S364" s="37"/>
      <c r="T364" s="37"/>
      <c r="U364" s="37"/>
      <c r="V364" s="37"/>
      <c r="W364" s="37"/>
      <c r="X364" s="37"/>
      <c r="Y364" s="37"/>
      <c r="Z364" s="37"/>
      <c r="AA364" s="5"/>
      <c r="AB364" s="5"/>
      <c r="AC364" s="5"/>
      <c r="AD364" s="5"/>
      <c r="AE364" s="5"/>
      <c r="AF364" s="5"/>
      <c r="AG364" s="5"/>
      <c r="AH364" s="5"/>
      <c r="AI364" s="5"/>
      <c r="AM364" s="23"/>
      <c r="AN364" s="37"/>
      <c r="AP364" s="3" t="e">
        <f>back!B245</f>
        <v>#VALUE!</v>
      </c>
    </row>
    <row r="365" spans="1:42" x14ac:dyDescent="0.2">
      <c r="A365" s="11"/>
      <c r="B365" s="11"/>
      <c r="C365" s="37"/>
      <c r="D365" s="13"/>
      <c r="E365" s="37"/>
      <c r="F365" s="37"/>
      <c r="G365" s="37"/>
      <c r="H365" s="37"/>
      <c r="I365" s="31"/>
      <c r="J365" s="37"/>
      <c r="K365" s="37"/>
      <c r="L365" s="37"/>
      <c r="M365" s="37"/>
      <c r="N365" s="37"/>
      <c r="O365" s="37"/>
      <c r="P365" s="37"/>
      <c r="Q365" s="37"/>
      <c r="R365" s="37"/>
      <c r="S365" s="37"/>
      <c r="T365" s="37"/>
      <c r="U365" s="37"/>
      <c r="V365" s="37"/>
      <c r="W365" s="37"/>
      <c r="X365" s="37"/>
      <c r="Y365" s="37"/>
      <c r="Z365" s="37"/>
      <c r="AA365" s="5"/>
      <c r="AB365" s="5"/>
      <c r="AC365" s="5"/>
      <c r="AD365" s="5"/>
      <c r="AE365" s="5"/>
      <c r="AF365" s="5"/>
      <c r="AG365" s="5"/>
      <c r="AH365" s="5"/>
      <c r="AI365" s="5"/>
      <c r="AM365" s="23"/>
      <c r="AN365" s="37"/>
      <c r="AP365" s="3" t="e">
        <f>back!B246</f>
        <v>#VALUE!</v>
      </c>
    </row>
    <row r="366" spans="1:42" x14ac:dyDescent="0.2">
      <c r="A366" s="11"/>
      <c r="B366" s="11"/>
      <c r="C366" s="37"/>
      <c r="D366" s="37"/>
      <c r="E366" s="37"/>
      <c r="F366" s="37"/>
      <c r="G366" s="37"/>
      <c r="H366" s="37"/>
      <c r="I366" s="27"/>
      <c r="J366" s="5" t="s">
        <v>247</v>
      </c>
      <c r="K366" s="5"/>
      <c r="L366" s="5"/>
      <c r="M366" s="13" t="s">
        <v>248</v>
      </c>
      <c r="N366" s="37"/>
      <c r="O366" s="37"/>
      <c r="P366" s="37"/>
      <c r="Q366" s="37"/>
      <c r="R366" s="37"/>
      <c r="S366" s="37"/>
      <c r="T366" s="37"/>
      <c r="U366" s="37"/>
      <c r="V366" s="37"/>
      <c r="W366" s="37"/>
      <c r="X366" s="37"/>
      <c r="Y366" s="37"/>
      <c r="Z366" s="37"/>
      <c r="AA366" s="5"/>
      <c r="AB366" s="5"/>
      <c r="AC366" s="5"/>
      <c r="AD366" s="5"/>
      <c r="AE366" s="5"/>
      <c r="AF366" s="5"/>
      <c r="AG366" s="5"/>
      <c r="AH366" s="5"/>
      <c r="AI366" s="5"/>
      <c r="AM366" s="23"/>
      <c r="AN366" s="37"/>
      <c r="AP366" s="3" t="e">
        <f>back!B247</f>
        <v>#VALUE!</v>
      </c>
    </row>
    <row r="367" spans="1:42" x14ac:dyDescent="0.2">
      <c r="A367" s="11"/>
      <c r="B367" s="11"/>
      <c r="C367" s="37"/>
      <c r="D367" s="37"/>
      <c r="E367" s="37"/>
      <c r="F367" s="37"/>
      <c r="G367" s="37"/>
      <c r="H367" s="37"/>
      <c r="I367" s="31"/>
      <c r="J367" s="5"/>
      <c r="K367" s="5"/>
      <c r="L367" s="5"/>
      <c r="M367" s="13" t="s">
        <v>249</v>
      </c>
      <c r="N367" s="37"/>
      <c r="O367" s="37"/>
      <c r="P367" s="37"/>
      <c r="Q367" s="37"/>
      <c r="R367" s="37"/>
      <c r="S367" s="37"/>
      <c r="T367" s="37"/>
      <c r="U367" s="37"/>
      <c r="V367" s="37"/>
      <c r="W367" s="37"/>
      <c r="X367" s="37"/>
      <c r="Y367" s="37"/>
      <c r="Z367" s="37"/>
      <c r="AA367" s="5"/>
      <c r="AB367" s="5"/>
      <c r="AC367" s="5"/>
      <c r="AD367" s="5"/>
      <c r="AE367" s="5"/>
      <c r="AF367" s="5"/>
      <c r="AG367" s="5"/>
      <c r="AH367" s="5"/>
      <c r="AI367" s="5"/>
      <c r="AM367" s="23"/>
      <c r="AN367" s="37"/>
      <c r="AP367" s="3" t="e">
        <f>back!B248</f>
        <v>#VALUE!</v>
      </c>
    </row>
    <row r="368" spans="1:42" x14ac:dyDescent="0.2">
      <c r="A368" s="11"/>
      <c r="B368" s="11"/>
      <c r="C368" s="37"/>
      <c r="D368" s="37"/>
      <c r="E368" s="37"/>
      <c r="F368" s="37"/>
      <c r="G368" s="37"/>
      <c r="H368" s="37"/>
      <c r="I368" s="27"/>
      <c r="J368" s="5" t="s">
        <v>250</v>
      </c>
      <c r="K368" s="5"/>
      <c r="L368" s="5"/>
      <c r="M368" s="5"/>
      <c r="N368" s="37"/>
      <c r="O368" s="13" t="s">
        <v>251</v>
      </c>
      <c r="P368" s="138"/>
      <c r="Q368" s="37"/>
      <c r="R368" s="37"/>
      <c r="S368" s="37"/>
      <c r="T368" s="37"/>
      <c r="U368" s="37"/>
      <c r="V368" s="37"/>
      <c r="W368" s="37"/>
      <c r="X368" s="37"/>
      <c r="Y368" s="37"/>
      <c r="Z368" s="37"/>
      <c r="AA368" s="5"/>
      <c r="AB368" s="5"/>
      <c r="AC368" s="5"/>
      <c r="AD368" s="5"/>
      <c r="AE368" s="5"/>
      <c r="AF368" s="5"/>
      <c r="AG368" s="5"/>
      <c r="AH368" s="5"/>
      <c r="AI368" s="5"/>
      <c r="AM368" s="23"/>
      <c r="AN368" s="37"/>
      <c r="AP368" s="3" t="e">
        <f>back!B249</f>
        <v>#VALUE!</v>
      </c>
    </row>
    <row r="369" spans="1:42" x14ac:dyDescent="0.2">
      <c r="A369" s="11"/>
      <c r="B369" s="11"/>
      <c r="C369" s="37"/>
      <c r="D369" s="37"/>
      <c r="E369" s="37"/>
      <c r="F369" s="37"/>
      <c r="G369" s="37"/>
      <c r="H369" s="37"/>
      <c r="I369" s="31"/>
      <c r="J369" s="37"/>
      <c r="K369" s="37"/>
      <c r="L369" s="37"/>
      <c r="M369" s="37"/>
      <c r="N369" s="37"/>
      <c r="O369" s="13" t="s">
        <v>252</v>
      </c>
      <c r="P369" s="37"/>
      <c r="Q369" s="37"/>
      <c r="R369" s="37"/>
      <c r="S369" s="37"/>
      <c r="T369" s="37"/>
      <c r="U369" s="37"/>
      <c r="V369" s="37"/>
      <c r="W369" s="37"/>
      <c r="X369" s="37"/>
      <c r="Y369" s="37"/>
      <c r="Z369" s="37"/>
      <c r="AA369" s="5"/>
      <c r="AB369" s="5"/>
      <c r="AC369" s="5"/>
      <c r="AD369" s="5"/>
      <c r="AE369" s="5"/>
      <c r="AF369" s="5"/>
      <c r="AG369" s="5"/>
      <c r="AH369" s="5"/>
      <c r="AI369" s="5"/>
      <c r="AM369" s="23"/>
      <c r="AN369" s="37"/>
      <c r="AP369" s="3" t="e">
        <f>back!B250</f>
        <v>#VALUE!</v>
      </c>
    </row>
    <row r="370" spans="1:42" x14ac:dyDescent="0.2">
      <c r="A370" s="11"/>
      <c r="B370" s="11"/>
      <c r="C370" s="37"/>
      <c r="D370" s="37"/>
      <c r="E370" s="37"/>
      <c r="F370" s="37"/>
      <c r="G370" s="37"/>
      <c r="H370" s="37"/>
      <c r="I370" s="31"/>
      <c r="J370" s="37"/>
      <c r="K370" s="37"/>
      <c r="L370" s="37"/>
      <c r="M370" s="37"/>
      <c r="N370" s="37"/>
      <c r="O370" s="37"/>
      <c r="P370" s="37"/>
      <c r="Q370" s="37"/>
      <c r="R370" s="37"/>
      <c r="S370" s="37"/>
      <c r="T370" s="37"/>
      <c r="U370" s="37"/>
      <c r="V370" s="37"/>
      <c r="W370" s="37"/>
      <c r="X370" s="37"/>
      <c r="Y370" s="37"/>
      <c r="Z370" s="37"/>
      <c r="AA370" s="5"/>
      <c r="AB370" s="5"/>
      <c r="AC370" s="5"/>
      <c r="AD370" s="5"/>
      <c r="AE370" s="5"/>
      <c r="AF370" s="5"/>
      <c r="AG370" s="5"/>
      <c r="AH370" s="5"/>
      <c r="AI370" s="5"/>
      <c r="AM370" s="23"/>
      <c r="AN370" s="37"/>
      <c r="AP370" s="3" t="e">
        <f>back!B251</f>
        <v>#VALUE!</v>
      </c>
    </row>
    <row r="371" spans="1:42" x14ac:dyDescent="0.2">
      <c r="A371" s="11"/>
      <c r="B371" s="11"/>
      <c r="C371" s="29" t="s">
        <v>15</v>
      </c>
      <c r="D371" s="5" t="s">
        <v>253</v>
      </c>
      <c r="E371" s="37"/>
      <c r="F371" s="37"/>
      <c r="G371" s="37"/>
      <c r="H371" s="37"/>
      <c r="I371" s="37"/>
      <c r="J371" s="37"/>
      <c r="K371" s="37"/>
      <c r="L371" s="37"/>
      <c r="M371" s="37"/>
      <c r="N371" s="37"/>
      <c r="O371" s="37"/>
      <c r="P371" s="37"/>
      <c r="Q371" s="37"/>
      <c r="R371" s="37"/>
      <c r="S371" s="37"/>
      <c r="T371" s="37"/>
      <c r="U371" s="37"/>
      <c r="V371" s="37"/>
      <c r="W371" s="37"/>
      <c r="X371" s="37"/>
      <c r="Y371" s="37"/>
      <c r="Z371" s="37"/>
      <c r="AA371" s="5"/>
      <c r="AB371" s="5"/>
      <c r="AC371" s="5"/>
      <c r="AD371" s="5"/>
      <c r="AE371" s="5"/>
      <c r="AF371" s="5"/>
      <c r="AG371" s="5"/>
      <c r="AH371" s="5"/>
      <c r="AI371" s="5"/>
      <c r="AM371" s="23"/>
      <c r="AN371" s="37"/>
      <c r="AP371" s="3" t="e">
        <f>back!B252</f>
        <v>#VALUE!</v>
      </c>
    </row>
    <row r="372" spans="1:42" x14ac:dyDescent="0.2">
      <c r="A372" s="11"/>
      <c r="B372" s="11"/>
      <c r="C372" s="37"/>
      <c r="D372" s="27" t="s">
        <v>9</v>
      </c>
      <c r="E372" s="61" t="s">
        <v>27</v>
      </c>
      <c r="F372" s="5" t="s">
        <v>68</v>
      </c>
      <c r="G372" s="37"/>
      <c r="H372" s="37"/>
      <c r="I372" s="37"/>
      <c r="J372" s="37"/>
      <c r="K372" s="37"/>
      <c r="L372" s="37"/>
      <c r="M372" s="37"/>
      <c r="N372" s="37"/>
      <c r="O372" s="37"/>
      <c r="P372" s="37"/>
      <c r="Q372" s="37"/>
      <c r="R372" s="37"/>
      <c r="S372" s="37"/>
      <c r="T372" s="37"/>
      <c r="U372" s="37"/>
      <c r="V372" s="37"/>
      <c r="W372" s="37"/>
      <c r="X372" s="37"/>
      <c r="Y372" s="37"/>
      <c r="Z372" s="37"/>
      <c r="AA372" s="5"/>
      <c r="AB372" s="5"/>
      <c r="AC372" s="5"/>
      <c r="AD372" s="5"/>
      <c r="AE372" s="5"/>
      <c r="AF372" s="5"/>
      <c r="AG372" s="5"/>
      <c r="AH372" s="5"/>
      <c r="AI372" s="5"/>
      <c r="AM372" s="23"/>
      <c r="AN372" s="37"/>
      <c r="AP372" s="3" t="e">
        <f>back!B253</f>
        <v>#VALUE!</v>
      </c>
    </row>
    <row r="373" spans="1:42" x14ac:dyDescent="0.2">
      <c r="A373" s="11"/>
      <c r="B373" s="11"/>
      <c r="C373" s="37"/>
      <c r="D373" s="28"/>
      <c r="E373" s="61" t="s">
        <v>25</v>
      </c>
      <c r="F373" s="5"/>
      <c r="G373" s="37"/>
      <c r="H373" s="37"/>
      <c r="I373" s="37"/>
      <c r="J373" s="37"/>
      <c r="K373" s="37"/>
      <c r="L373" s="37"/>
      <c r="M373" s="37"/>
      <c r="N373" s="37"/>
      <c r="O373" s="37"/>
      <c r="P373" s="37"/>
      <c r="Q373" s="37"/>
      <c r="R373" s="37"/>
      <c r="S373" s="37"/>
      <c r="T373" s="37"/>
      <c r="U373" s="37"/>
      <c r="V373" s="37"/>
      <c r="W373" s="37"/>
      <c r="X373" s="37"/>
      <c r="Y373" s="37"/>
      <c r="Z373" s="37"/>
      <c r="AA373" s="5"/>
      <c r="AB373" s="5"/>
      <c r="AC373" s="5"/>
      <c r="AD373" s="5"/>
      <c r="AE373" s="5"/>
      <c r="AF373" s="5"/>
      <c r="AG373" s="5"/>
      <c r="AH373" s="5"/>
      <c r="AI373" s="5"/>
      <c r="AM373" s="23"/>
      <c r="AN373" s="37"/>
      <c r="AP373" s="3" t="e">
        <f>back!B254</f>
        <v>#VALUE!</v>
      </c>
    </row>
    <row r="374" spans="1:42" x14ac:dyDescent="0.2">
      <c r="A374" s="11"/>
      <c r="B374" s="11"/>
      <c r="C374" s="37"/>
      <c r="D374" s="37"/>
      <c r="E374" s="29" t="s">
        <v>15</v>
      </c>
      <c r="F374" s="5" t="s">
        <v>254</v>
      </c>
      <c r="G374" s="37"/>
      <c r="H374" s="37"/>
      <c r="I374" s="37"/>
      <c r="J374" s="37"/>
      <c r="K374" s="37"/>
      <c r="L374" s="37"/>
      <c r="M374" s="37"/>
      <c r="N374" s="37"/>
      <c r="O374" s="37"/>
      <c r="P374" s="37"/>
      <c r="Q374" s="37"/>
      <c r="R374" s="37"/>
      <c r="S374" s="37"/>
      <c r="T374" s="37"/>
      <c r="U374" s="37"/>
      <c r="V374" s="37"/>
      <c r="W374" s="37"/>
      <c r="X374" s="37"/>
      <c r="Y374" s="37"/>
      <c r="Z374" s="37"/>
      <c r="AA374" s="5"/>
      <c r="AB374" s="14"/>
      <c r="AC374" s="14"/>
      <c r="AD374" s="13"/>
      <c r="AE374" s="5"/>
      <c r="AF374" s="5"/>
      <c r="AG374" s="5"/>
      <c r="AH374" s="5"/>
      <c r="AI374" s="14"/>
      <c r="AM374" s="23"/>
      <c r="AN374" s="37"/>
      <c r="AP374" s="3" t="e">
        <f>back!B255</f>
        <v>#VALUE!</v>
      </c>
    </row>
    <row r="375" spans="1:42" ht="145.5" x14ac:dyDescent="0.2">
      <c r="A375" s="11"/>
      <c r="B375" s="11"/>
      <c r="C375" s="5"/>
      <c r="D375" s="5"/>
      <c r="E375" s="5"/>
      <c r="F375" s="152" t="s">
        <v>255</v>
      </c>
      <c r="G375" s="152"/>
      <c r="H375" s="152"/>
      <c r="I375" s="153"/>
      <c r="J375" s="34"/>
      <c r="K375" s="154" t="s">
        <v>256</v>
      </c>
      <c r="L375" s="17"/>
      <c r="M375" s="17"/>
      <c r="N375" s="17"/>
      <c r="O375" s="17"/>
      <c r="P375" s="154" t="s">
        <v>257</v>
      </c>
      <c r="Q375" s="17"/>
      <c r="R375" s="17"/>
      <c r="S375" s="17"/>
      <c r="T375" s="154" t="s">
        <v>258</v>
      </c>
      <c r="U375" s="17"/>
      <c r="V375" s="17"/>
      <c r="W375" s="154" t="s">
        <v>259</v>
      </c>
      <c r="X375" s="17"/>
      <c r="Y375" s="17"/>
      <c r="Z375" s="17"/>
      <c r="AA375" s="17"/>
      <c r="AB375" s="154" t="s">
        <v>260</v>
      </c>
      <c r="AC375" s="17"/>
      <c r="AD375" s="17"/>
      <c r="AE375" s="17"/>
      <c r="AF375" s="154" t="s">
        <v>261</v>
      </c>
      <c r="AG375" s="17"/>
      <c r="AH375" s="154" t="s">
        <v>262</v>
      </c>
      <c r="AI375" s="56"/>
      <c r="AM375" s="23"/>
      <c r="AN375" s="37"/>
      <c r="AP375" s="3" t="e">
        <f>back!B256</f>
        <v>#VALUE!</v>
      </c>
    </row>
    <row r="376" spans="1:42" x14ac:dyDescent="0.2">
      <c r="A376" s="11"/>
      <c r="B376" s="11"/>
      <c r="C376" s="5"/>
      <c r="D376" s="5"/>
      <c r="E376" s="5"/>
      <c r="F376" s="155" t="s">
        <v>263</v>
      </c>
      <c r="G376" s="155"/>
      <c r="H376" s="155"/>
      <c r="I376" s="37"/>
      <c r="J376" s="130"/>
      <c r="K376" s="131"/>
      <c r="L376" s="131"/>
      <c r="M376" s="132"/>
      <c r="N376" s="5"/>
      <c r="O376" s="130"/>
      <c r="P376" s="131"/>
      <c r="Q376" s="131"/>
      <c r="R376" s="132"/>
      <c r="S376" s="5"/>
      <c r="T376" s="109"/>
      <c r="U376" s="5"/>
      <c r="V376" s="130"/>
      <c r="W376" s="131"/>
      <c r="X376" s="131"/>
      <c r="Y376" s="132"/>
      <c r="Z376" s="5"/>
      <c r="AA376" s="130"/>
      <c r="AB376" s="131"/>
      <c r="AC376" s="131"/>
      <c r="AD376" s="132"/>
      <c r="AE376" s="5"/>
      <c r="AF376" s="109"/>
      <c r="AG376" s="5"/>
      <c r="AH376" s="109"/>
      <c r="AI376" s="59"/>
      <c r="AM376" s="23"/>
      <c r="AN376" s="37"/>
      <c r="AP376" s="3" t="e">
        <f>back!B257</f>
        <v>#VALUE!</v>
      </c>
    </row>
    <row r="377" spans="1:42" x14ac:dyDescent="0.2">
      <c r="A377" s="11"/>
      <c r="B377" s="11"/>
      <c r="C377" s="5"/>
      <c r="D377" s="5"/>
      <c r="E377" s="5"/>
      <c r="F377" s="156" t="s">
        <v>263</v>
      </c>
      <c r="G377" s="156"/>
      <c r="H377" s="156"/>
      <c r="I377" s="37"/>
      <c r="J377" s="130"/>
      <c r="K377" s="131"/>
      <c r="L377" s="131"/>
      <c r="M377" s="132"/>
      <c r="N377" s="5"/>
      <c r="O377" s="130"/>
      <c r="P377" s="131"/>
      <c r="Q377" s="131"/>
      <c r="R377" s="132"/>
      <c r="S377" s="5"/>
      <c r="T377" s="128"/>
      <c r="U377" s="5"/>
      <c r="V377" s="130"/>
      <c r="W377" s="131"/>
      <c r="X377" s="131"/>
      <c r="Y377" s="132"/>
      <c r="Z377" s="5"/>
      <c r="AA377" s="130"/>
      <c r="AB377" s="131"/>
      <c r="AC377" s="131"/>
      <c r="AD377" s="132"/>
      <c r="AE377" s="5"/>
      <c r="AF377" s="128"/>
      <c r="AG377" s="5"/>
      <c r="AH377" s="128"/>
      <c r="AI377" s="59"/>
      <c r="AM377" s="23"/>
      <c r="AN377" s="37"/>
      <c r="AP377" s="3" t="e">
        <f>back!B258</f>
        <v>#VALUE!</v>
      </c>
    </row>
    <row r="378" spans="1:42" x14ac:dyDescent="0.2">
      <c r="A378" s="11"/>
      <c r="B378" s="11"/>
      <c r="C378" s="5"/>
      <c r="D378" s="5"/>
      <c r="E378" s="5"/>
      <c r="F378" s="156" t="s">
        <v>263</v>
      </c>
      <c r="G378" s="156"/>
      <c r="H378" s="156"/>
      <c r="I378" s="37"/>
      <c r="J378" s="130"/>
      <c r="K378" s="131"/>
      <c r="L378" s="131"/>
      <c r="M378" s="132"/>
      <c r="N378" s="5"/>
      <c r="O378" s="130"/>
      <c r="P378" s="131"/>
      <c r="Q378" s="131"/>
      <c r="R378" s="132"/>
      <c r="S378" s="5"/>
      <c r="T378" s="128"/>
      <c r="U378" s="5"/>
      <c r="V378" s="130"/>
      <c r="W378" s="131"/>
      <c r="X378" s="131"/>
      <c r="Y378" s="132"/>
      <c r="Z378" s="5"/>
      <c r="AA378" s="130"/>
      <c r="AB378" s="131"/>
      <c r="AC378" s="131"/>
      <c r="AD378" s="132"/>
      <c r="AE378" s="5"/>
      <c r="AF378" s="128"/>
      <c r="AG378" s="5"/>
      <c r="AH378" s="128"/>
      <c r="AI378" s="59"/>
      <c r="AM378" s="23"/>
      <c r="AN378" s="37"/>
    </row>
    <row r="379" spans="1:42" x14ac:dyDescent="0.2">
      <c r="A379" s="11"/>
      <c r="B379" s="11"/>
      <c r="C379" s="5"/>
      <c r="D379" s="5"/>
      <c r="E379" s="5"/>
      <c r="F379" s="156" t="s">
        <v>263</v>
      </c>
      <c r="G379" s="156"/>
      <c r="H379" s="156"/>
      <c r="I379" s="37"/>
      <c r="J379" s="130"/>
      <c r="K379" s="131"/>
      <c r="L379" s="131"/>
      <c r="M379" s="132"/>
      <c r="N379" s="5"/>
      <c r="O379" s="130"/>
      <c r="P379" s="131"/>
      <c r="Q379" s="131"/>
      <c r="R379" s="132"/>
      <c r="S379" s="5"/>
      <c r="T379" s="128"/>
      <c r="U379" s="5"/>
      <c r="V379" s="130"/>
      <c r="W379" s="131"/>
      <c r="X379" s="131"/>
      <c r="Y379" s="132"/>
      <c r="Z379" s="5"/>
      <c r="AA379" s="130"/>
      <c r="AB379" s="131"/>
      <c r="AC379" s="131"/>
      <c r="AD379" s="132"/>
      <c r="AE379" s="5"/>
      <c r="AF379" s="128"/>
      <c r="AG379" s="5"/>
      <c r="AH379" s="128"/>
      <c r="AI379" s="59"/>
      <c r="AM379" s="23"/>
      <c r="AN379" s="37"/>
    </row>
    <row r="380" spans="1:42" x14ac:dyDescent="0.2">
      <c r="A380" s="11"/>
      <c r="B380" s="11"/>
      <c r="C380" s="5"/>
      <c r="D380" s="5"/>
      <c r="E380" s="5"/>
      <c r="F380" s="156" t="s">
        <v>263</v>
      </c>
      <c r="G380" s="156"/>
      <c r="H380" s="156"/>
      <c r="I380" s="37"/>
      <c r="J380" s="130"/>
      <c r="K380" s="131"/>
      <c r="L380" s="131"/>
      <c r="M380" s="132"/>
      <c r="N380" s="5"/>
      <c r="O380" s="130"/>
      <c r="P380" s="131"/>
      <c r="Q380" s="131"/>
      <c r="R380" s="132"/>
      <c r="S380" s="5"/>
      <c r="T380" s="128"/>
      <c r="U380" s="5"/>
      <c r="V380" s="130"/>
      <c r="W380" s="131"/>
      <c r="X380" s="131"/>
      <c r="Y380" s="132"/>
      <c r="Z380" s="5"/>
      <c r="AA380" s="130"/>
      <c r="AB380" s="131"/>
      <c r="AC380" s="131"/>
      <c r="AD380" s="132"/>
      <c r="AE380" s="5"/>
      <c r="AF380" s="128"/>
      <c r="AG380" s="5"/>
      <c r="AH380" s="128"/>
      <c r="AI380" s="59"/>
      <c r="AM380" s="23"/>
      <c r="AN380" s="37"/>
    </row>
    <row r="381" spans="1:42" x14ac:dyDescent="0.2">
      <c r="A381" s="11"/>
      <c r="B381" s="11"/>
      <c r="C381" s="5"/>
      <c r="D381" s="5"/>
      <c r="E381" s="5"/>
      <c r="F381" s="156" t="s">
        <v>263</v>
      </c>
      <c r="G381" s="156"/>
      <c r="H381" s="156"/>
      <c r="I381" s="37"/>
      <c r="J381" s="130"/>
      <c r="K381" s="131"/>
      <c r="L381" s="131"/>
      <c r="M381" s="132"/>
      <c r="N381" s="5"/>
      <c r="O381" s="130"/>
      <c r="P381" s="131"/>
      <c r="Q381" s="131"/>
      <c r="R381" s="132"/>
      <c r="S381" s="5"/>
      <c r="T381" s="128"/>
      <c r="U381" s="5"/>
      <c r="V381" s="130"/>
      <c r="W381" s="131"/>
      <c r="X381" s="131"/>
      <c r="Y381" s="132"/>
      <c r="Z381" s="5"/>
      <c r="AA381" s="130"/>
      <c r="AB381" s="131"/>
      <c r="AC381" s="131"/>
      <c r="AD381" s="132"/>
      <c r="AE381" s="5"/>
      <c r="AF381" s="128"/>
      <c r="AG381" s="5"/>
      <c r="AH381" s="128"/>
      <c r="AI381" s="59"/>
      <c r="AM381" s="23"/>
      <c r="AN381" s="37"/>
    </row>
    <row r="382" spans="1:42" x14ac:dyDescent="0.2">
      <c r="A382" s="11"/>
      <c r="B382" s="11"/>
      <c r="C382" s="5"/>
      <c r="D382" s="5"/>
      <c r="E382" s="5"/>
      <c r="F382" s="156" t="s">
        <v>263</v>
      </c>
      <c r="G382" s="156"/>
      <c r="H382" s="156"/>
      <c r="I382" s="37"/>
      <c r="J382" s="130"/>
      <c r="K382" s="131"/>
      <c r="L382" s="131"/>
      <c r="M382" s="132"/>
      <c r="N382" s="5"/>
      <c r="O382" s="130"/>
      <c r="P382" s="131"/>
      <c r="Q382" s="131"/>
      <c r="R382" s="132"/>
      <c r="S382" s="5"/>
      <c r="T382" s="128"/>
      <c r="U382" s="5"/>
      <c r="V382" s="130"/>
      <c r="W382" s="131"/>
      <c r="X382" s="131"/>
      <c r="Y382" s="132"/>
      <c r="Z382" s="5"/>
      <c r="AA382" s="130"/>
      <c r="AB382" s="131"/>
      <c r="AC382" s="131"/>
      <c r="AD382" s="132"/>
      <c r="AE382" s="5"/>
      <c r="AF382" s="128"/>
      <c r="AG382" s="5"/>
      <c r="AH382" s="128"/>
      <c r="AI382" s="59"/>
      <c r="AM382" s="23"/>
      <c r="AN382" s="37"/>
    </row>
    <row r="383" spans="1:42" x14ac:dyDescent="0.2">
      <c r="A383" s="11"/>
      <c r="B383" s="11"/>
      <c r="C383" s="5"/>
      <c r="D383" s="5"/>
      <c r="E383" s="5"/>
      <c r="F383" s="156" t="s">
        <v>263</v>
      </c>
      <c r="G383" s="156"/>
      <c r="H383" s="156"/>
      <c r="I383" s="37"/>
      <c r="J383" s="130"/>
      <c r="K383" s="131"/>
      <c r="L383" s="131"/>
      <c r="M383" s="132"/>
      <c r="N383" s="5"/>
      <c r="O383" s="130"/>
      <c r="P383" s="131"/>
      <c r="Q383" s="131"/>
      <c r="R383" s="132"/>
      <c r="S383" s="5"/>
      <c r="T383" s="128"/>
      <c r="U383" s="5"/>
      <c r="V383" s="130"/>
      <c r="W383" s="131"/>
      <c r="X383" s="131"/>
      <c r="Y383" s="132"/>
      <c r="Z383" s="5"/>
      <c r="AA383" s="130"/>
      <c r="AB383" s="131"/>
      <c r="AC383" s="131"/>
      <c r="AD383" s="132"/>
      <c r="AE383" s="5"/>
      <c r="AF383" s="128"/>
      <c r="AG383" s="5"/>
      <c r="AH383" s="128"/>
      <c r="AI383" s="59"/>
      <c r="AM383" s="23"/>
      <c r="AN383" s="37"/>
    </row>
    <row r="384" spans="1:42" x14ac:dyDescent="0.2">
      <c r="A384" s="11"/>
      <c r="B384" s="11"/>
      <c r="C384" s="5"/>
      <c r="D384" s="5"/>
      <c r="E384" s="5"/>
      <c r="F384" s="156" t="s">
        <v>263</v>
      </c>
      <c r="G384" s="156"/>
      <c r="H384" s="156"/>
      <c r="I384" s="37"/>
      <c r="J384" s="130"/>
      <c r="K384" s="131"/>
      <c r="L384" s="131"/>
      <c r="M384" s="132"/>
      <c r="N384" s="5"/>
      <c r="O384" s="130"/>
      <c r="P384" s="131"/>
      <c r="Q384" s="131"/>
      <c r="R384" s="132"/>
      <c r="S384" s="5"/>
      <c r="T384" s="128"/>
      <c r="U384" s="5"/>
      <c r="V384" s="130"/>
      <c r="W384" s="131"/>
      <c r="X384" s="131"/>
      <c r="Y384" s="132"/>
      <c r="Z384" s="5"/>
      <c r="AA384" s="130"/>
      <c r="AB384" s="131"/>
      <c r="AC384" s="131"/>
      <c r="AD384" s="132"/>
      <c r="AE384" s="5"/>
      <c r="AF384" s="128"/>
      <c r="AG384" s="5"/>
      <c r="AH384" s="128"/>
      <c r="AI384" s="59"/>
      <c r="AM384" s="23"/>
      <c r="AN384" s="37"/>
    </row>
    <row r="385" spans="1:40" x14ac:dyDescent="0.2">
      <c r="A385" s="11"/>
      <c r="B385" s="11"/>
      <c r="C385" s="5"/>
      <c r="D385" s="5"/>
      <c r="E385" s="5"/>
      <c r="F385" s="156" t="s">
        <v>263</v>
      </c>
      <c r="G385" s="156"/>
      <c r="H385" s="156"/>
      <c r="I385" s="37"/>
      <c r="J385" s="130"/>
      <c r="K385" s="131"/>
      <c r="L385" s="131"/>
      <c r="M385" s="132"/>
      <c r="N385" s="5"/>
      <c r="O385" s="130"/>
      <c r="P385" s="131"/>
      <c r="Q385" s="131"/>
      <c r="R385" s="132"/>
      <c r="S385" s="5"/>
      <c r="T385" s="128"/>
      <c r="U385" s="5"/>
      <c r="V385" s="130"/>
      <c r="W385" s="131"/>
      <c r="X385" s="131"/>
      <c r="Y385" s="132"/>
      <c r="Z385" s="5"/>
      <c r="AA385" s="130"/>
      <c r="AB385" s="131"/>
      <c r="AC385" s="131"/>
      <c r="AD385" s="132"/>
      <c r="AE385" s="5"/>
      <c r="AF385" s="128"/>
      <c r="AG385" s="5"/>
      <c r="AH385" s="128"/>
      <c r="AI385" s="59"/>
      <c r="AM385" s="23"/>
      <c r="AN385" s="37"/>
    </row>
    <row r="386" spans="1:40" x14ac:dyDescent="0.2">
      <c r="A386" s="11"/>
      <c r="B386" s="11"/>
      <c r="C386" s="5"/>
      <c r="D386" s="5"/>
      <c r="E386" s="5"/>
      <c r="F386" s="46"/>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14"/>
      <c r="AG386" s="14"/>
      <c r="AH386" s="14"/>
      <c r="AI386" s="90"/>
      <c r="AM386" s="23"/>
      <c r="AN386" s="37"/>
    </row>
    <row r="387" spans="1:40" x14ac:dyDescent="0.2">
      <c r="A387" s="11"/>
      <c r="B387" s="11"/>
      <c r="C387" s="37"/>
      <c r="D387" s="37"/>
      <c r="E387" s="37"/>
      <c r="F387" s="37"/>
      <c r="G387" s="37"/>
      <c r="H387" s="37"/>
      <c r="I387" s="37"/>
      <c r="J387" s="37"/>
      <c r="K387" s="37"/>
      <c r="L387" s="37"/>
      <c r="M387" s="37"/>
      <c r="AM387" s="23"/>
      <c r="AN387" s="37"/>
    </row>
    <row r="388" spans="1:40" x14ac:dyDescent="0.2">
      <c r="A388" s="11"/>
      <c r="B388" s="11"/>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5"/>
      <c r="AC388" s="5"/>
      <c r="AD388" s="5"/>
      <c r="AE388" s="5"/>
      <c r="AF388" s="5"/>
      <c r="AG388" s="5"/>
      <c r="AH388" s="5"/>
      <c r="AI388" s="5"/>
      <c r="AJ388" s="5"/>
      <c r="AM388" s="23"/>
      <c r="AN388" s="37"/>
    </row>
    <row r="389" spans="1:40" x14ac:dyDescent="0.2">
      <c r="A389" s="11"/>
      <c r="B389" s="11"/>
      <c r="C389" s="37"/>
      <c r="D389" s="29" t="s">
        <v>15</v>
      </c>
      <c r="E389" s="157" t="s">
        <v>264</v>
      </c>
      <c r="F389" s="37"/>
      <c r="G389" s="37"/>
      <c r="H389" s="37"/>
      <c r="I389" s="37"/>
      <c r="J389" s="37"/>
      <c r="K389" s="37"/>
      <c r="L389" s="37"/>
      <c r="M389" s="37"/>
      <c r="N389" s="37"/>
      <c r="O389" s="37"/>
      <c r="P389" s="37"/>
      <c r="Q389" s="37"/>
      <c r="R389" s="37"/>
      <c r="S389" s="37"/>
      <c r="T389" s="37"/>
      <c r="U389" s="37"/>
      <c r="V389" s="37"/>
      <c r="W389" s="37"/>
      <c r="X389" s="37"/>
      <c r="Y389" s="37"/>
      <c r="Z389" s="37"/>
      <c r="AA389" s="37"/>
      <c r="AB389" s="5"/>
      <c r="AC389" s="5"/>
      <c r="AD389" s="5"/>
      <c r="AE389" s="5"/>
      <c r="AF389" s="5"/>
      <c r="AG389" s="5"/>
      <c r="AH389" s="5"/>
      <c r="AI389" s="5"/>
      <c r="AJ389" s="5"/>
      <c r="AM389" s="23"/>
      <c r="AN389" s="37"/>
    </row>
    <row r="390" spans="1:40" x14ac:dyDescent="0.2">
      <c r="A390" s="11"/>
      <c r="B390" s="11"/>
      <c r="C390" s="37"/>
      <c r="D390" s="37"/>
      <c r="E390" s="158" t="s">
        <v>265</v>
      </c>
      <c r="F390" s="37"/>
      <c r="G390" s="37"/>
      <c r="H390" s="37"/>
      <c r="K390" s="37"/>
      <c r="L390" s="37"/>
      <c r="M390" s="37"/>
      <c r="N390" s="37"/>
      <c r="O390" s="37"/>
      <c r="P390" s="37"/>
      <c r="Q390" s="37"/>
      <c r="R390" s="37"/>
      <c r="S390" s="37"/>
      <c r="T390" s="37"/>
      <c r="U390" s="37"/>
      <c r="V390" s="37"/>
      <c r="W390" s="37"/>
      <c r="X390" s="37"/>
      <c r="Y390" s="37"/>
      <c r="Z390" s="37"/>
      <c r="AA390" s="37"/>
      <c r="AB390" s="5"/>
      <c r="AC390" s="5"/>
      <c r="AD390" s="5"/>
      <c r="AE390" s="5"/>
      <c r="AF390" s="5"/>
      <c r="AG390" s="5"/>
      <c r="AH390" s="5"/>
      <c r="AI390" s="5"/>
      <c r="AJ390" s="5"/>
      <c r="AM390" s="23"/>
      <c r="AN390" s="37"/>
    </row>
    <row r="391" spans="1:40" x14ac:dyDescent="0.2">
      <c r="A391" s="11"/>
      <c r="B391" s="11"/>
      <c r="C391" s="37"/>
      <c r="D391" s="37"/>
      <c r="E391" s="159" t="s">
        <v>266</v>
      </c>
      <c r="H391" s="37"/>
      <c r="I391" s="37"/>
      <c r="J391" s="37"/>
      <c r="K391" s="37"/>
      <c r="L391" s="37"/>
      <c r="M391" s="37"/>
      <c r="N391" s="37"/>
      <c r="O391" s="37"/>
      <c r="P391" s="37"/>
      <c r="Q391" s="37"/>
      <c r="R391" s="37"/>
      <c r="S391" s="37"/>
      <c r="T391" s="37"/>
      <c r="U391" s="37"/>
      <c r="V391" s="37"/>
      <c r="W391" s="37"/>
      <c r="X391" s="37"/>
      <c r="Y391" s="37"/>
      <c r="Z391" s="37"/>
      <c r="AA391" s="37"/>
      <c r="AB391" s="5"/>
      <c r="AC391" s="5"/>
      <c r="AD391" s="5"/>
      <c r="AE391" s="5"/>
      <c r="AF391" s="5"/>
      <c r="AG391" s="5"/>
      <c r="AH391" s="5"/>
      <c r="AI391" s="5"/>
      <c r="AJ391" s="5"/>
      <c r="AM391" s="23"/>
      <c r="AN391" s="37"/>
    </row>
    <row r="392" spans="1:40" x14ac:dyDescent="0.2">
      <c r="A392" s="11"/>
      <c r="B392" s="11"/>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5"/>
      <c r="AE392" s="5"/>
      <c r="AF392" s="5"/>
      <c r="AG392" s="5"/>
      <c r="AH392" s="5"/>
      <c r="AI392" s="5"/>
      <c r="AJ392" s="5"/>
      <c r="AK392" s="5"/>
      <c r="AL392" s="5"/>
      <c r="AM392" s="23"/>
      <c r="AN392" s="37"/>
    </row>
    <row r="393" spans="1:40" x14ac:dyDescent="0.2">
      <c r="A393" s="11"/>
      <c r="B393" s="11"/>
      <c r="C393" s="21" t="s">
        <v>267</v>
      </c>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5"/>
      <c r="AE393" s="5"/>
      <c r="AF393" s="5"/>
      <c r="AG393" s="5"/>
      <c r="AH393" s="5"/>
      <c r="AI393" s="5"/>
      <c r="AJ393" s="5"/>
      <c r="AK393" s="5"/>
      <c r="AL393" s="5"/>
      <c r="AM393" s="23"/>
      <c r="AN393" s="37"/>
    </row>
    <row r="394" spans="1:40" x14ac:dyDescent="0.2">
      <c r="A394" s="11"/>
      <c r="B394" s="36"/>
      <c r="C394" s="38" t="s">
        <v>25</v>
      </c>
      <c r="D394" s="27"/>
      <c r="E394" s="39" t="str">
        <f>IF(D394&lt;&gt;"","Please check the ‘+’ icon to the left and provide the necessary information","")</f>
        <v/>
      </c>
      <c r="F394" s="39"/>
      <c r="G394" s="39"/>
      <c r="H394" s="39"/>
      <c r="I394" s="37"/>
      <c r="J394" s="37"/>
      <c r="L394" s="13"/>
      <c r="M394" s="37"/>
      <c r="N394" s="37"/>
      <c r="O394" s="37"/>
      <c r="P394" s="37"/>
      <c r="Q394" s="37"/>
      <c r="R394" s="37"/>
      <c r="S394" s="37"/>
      <c r="T394" s="37"/>
      <c r="U394" s="37"/>
      <c r="V394" s="40"/>
      <c r="W394" s="37"/>
      <c r="X394" s="37"/>
      <c r="Y394" s="37"/>
      <c r="Z394" s="37"/>
      <c r="AA394" s="37"/>
      <c r="AB394" s="37"/>
      <c r="AC394" s="37"/>
      <c r="AD394" s="37"/>
      <c r="AE394" s="5"/>
      <c r="AF394" s="5"/>
      <c r="AM394" s="23"/>
    </row>
    <row r="395" spans="1:40" x14ac:dyDescent="0.2">
      <c r="A395" s="11"/>
      <c r="B395" s="36"/>
      <c r="C395" s="38" t="s">
        <v>27</v>
      </c>
      <c r="D395" s="28" t="s">
        <v>9</v>
      </c>
      <c r="E395" s="41"/>
      <c r="F395" s="42"/>
      <c r="G395" s="42"/>
      <c r="H395" s="42"/>
      <c r="I395" s="37"/>
      <c r="J395" s="37"/>
      <c r="L395" s="13"/>
      <c r="M395" s="37"/>
      <c r="N395" s="37"/>
      <c r="O395" s="37"/>
      <c r="P395" s="37"/>
      <c r="Q395" s="37"/>
      <c r="R395" s="37"/>
      <c r="S395" s="37"/>
      <c r="T395" s="37"/>
      <c r="U395" s="37"/>
      <c r="V395" s="37"/>
      <c r="W395" s="37"/>
      <c r="X395" s="37"/>
      <c r="Y395" s="37"/>
      <c r="Z395" s="37"/>
      <c r="AA395" s="37"/>
      <c r="AB395" s="37"/>
      <c r="AC395" s="37"/>
      <c r="AD395" s="37"/>
      <c r="AE395" s="5"/>
      <c r="AF395" s="5"/>
      <c r="AM395" s="23"/>
    </row>
    <row r="396" spans="1:40" x14ac:dyDescent="0.2">
      <c r="A396" s="11"/>
      <c r="B396" s="11"/>
      <c r="C396" s="5"/>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5"/>
      <c r="AE396" s="5"/>
      <c r="AF396" s="5"/>
      <c r="AG396" s="5"/>
      <c r="AH396" s="5"/>
      <c r="AI396" s="5"/>
      <c r="AJ396" s="5"/>
      <c r="AK396" s="5"/>
      <c r="AL396" s="5"/>
      <c r="AM396" s="23"/>
      <c r="AN396" s="37"/>
    </row>
    <row r="397" spans="1:40" x14ac:dyDescent="0.2">
      <c r="A397" s="11"/>
      <c r="B397" s="11"/>
      <c r="C397" s="29" t="s">
        <v>15</v>
      </c>
      <c r="D397" s="27"/>
      <c r="E397" s="5" t="s">
        <v>268</v>
      </c>
      <c r="F397" s="5"/>
      <c r="G397" s="5"/>
      <c r="H397" s="37"/>
      <c r="I397" s="37"/>
      <c r="J397" s="37"/>
      <c r="K397" s="37"/>
      <c r="L397" s="37"/>
      <c r="M397" s="37"/>
      <c r="N397" s="37"/>
      <c r="O397" s="37"/>
      <c r="P397" s="37"/>
      <c r="Q397" s="37"/>
      <c r="R397" s="37"/>
      <c r="S397" s="37"/>
      <c r="T397" s="37"/>
      <c r="U397" s="37"/>
      <c r="V397" s="37"/>
      <c r="W397" s="37"/>
      <c r="X397" s="37"/>
      <c r="Y397" s="37"/>
      <c r="Z397" s="37"/>
      <c r="AA397" s="5"/>
      <c r="AB397" s="5"/>
      <c r="AC397" s="5"/>
      <c r="AD397" s="5"/>
      <c r="AE397" s="5"/>
      <c r="AF397" s="5"/>
      <c r="AG397" s="5"/>
      <c r="AH397" s="5"/>
      <c r="AI397" s="5"/>
      <c r="AM397" s="23"/>
      <c r="AN397" s="37"/>
    </row>
    <row r="398" spans="1:40" x14ac:dyDescent="0.2">
      <c r="A398" s="11"/>
      <c r="B398" s="11"/>
      <c r="C398" s="29" t="s">
        <v>269</v>
      </c>
      <c r="D398" s="29"/>
      <c r="E398" s="5" t="s">
        <v>270</v>
      </c>
      <c r="F398" s="5"/>
      <c r="G398" s="5"/>
      <c r="H398" s="37"/>
      <c r="I398" s="37"/>
      <c r="J398" s="37"/>
      <c r="K398" s="37"/>
      <c r="L398" s="37"/>
      <c r="M398" s="37"/>
      <c r="N398" s="37"/>
      <c r="O398" s="37"/>
      <c r="P398" s="37"/>
      <c r="Q398" s="37"/>
      <c r="R398" s="37"/>
      <c r="S398" s="37"/>
      <c r="T398" s="37"/>
      <c r="U398" s="37"/>
      <c r="V398" s="37"/>
      <c r="W398" s="37"/>
      <c r="X398" s="37"/>
      <c r="Y398" s="37"/>
      <c r="Z398" s="37"/>
      <c r="AA398" s="5"/>
      <c r="AB398" s="5"/>
      <c r="AC398" s="5"/>
      <c r="AD398" s="5"/>
      <c r="AE398" s="5"/>
      <c r="AF398" s="5"/>
      <c r="AG398" s="5"/>
      <c r="AH398" s="5"/>
      <c r="AI398" s="5"/>
      <c r="AM398" s="23"/>
      <c r="AN398" s="37"/>
    </row>
    <row r="399" spans="1:40" x14ac:dyDescent="0.2">
      <c r="A399" s="11"/>
      <c r="B399" s="11"/>
      <c r="C399" s="29" t="s">
        <v>269</v>
      </c>
      <c r="D399" s="29" t="s">
        <v>269</v>
      </c>
      <c r="E399" s="37"/>
      <c r="F399" s="37"/>
      <c r="G399" s="37"/>
      <c r="H399" s="37"/>
      <c r="I399" s="37"/>
      <c r="J399" s="37"/>
      <c r="K399" s="37"/>
      <c r="L399" s="37"/>
      <c r="M399" s="37"/>
      <c r="N399" s="37"/>
      <c r="O399" s="37"/>
      <c r="P399" s="37"/>
      <c r="Q399" s="37"/>
      <c r="R399" s="37"/>
      <c r="S399" s="37"/>
      <c r="T399" s="37"/>
      <c r="U399" s="37"/>
      <c r="V399" s="37"/>
      <c r="W399" s="37"/>
      <c r="X399" s="37"/>
      <c r="Y399" s="37"/>
      <c r="Z399" s="37"/>
      <c r="AA399" s="5"/>
      <c r="AB399" s="5"/>
      <c r="AC399" s="5"/>
      <c r="AD399" s="5"/>
      <c r="AE399" s="5"/>
      <c r="AF399" s="5"/>
      <c r="AG399" s="5"/>
      <c r="AH399" s="5"/>
      <c r="AI399" s="5"/>
      <c r="AM399" s="23"/>
      <c r="AN399" s="37"/>
    </row>
    <row r="400" spans="1:40" x14ac:dyDescent="0.2">
      <c r="A400" s="11"/>
      <c r="B400" s="11"/>
      <c r="C400" s="29" t="s">
        <v>269</v>
      </c>
      <c r="D400" s="29" t="s">
        <v>269</v>
      </c>
      <c r="E400" s="37"/>
      <c r="F400" s="5" t="s">
        <v>271</v>
      </c>
      <c r="G400" s="5"/>
      <c r="H400" s="5"/>
      <c r="I400" s="5"/>
      <c r="J400" s="70"/>
      <c r="K400" s="70"/>
      <c r="L400" s="70"/>
      <c r="M400" s="70"/>
      <c r="N400" s="37"/>
      <c r="O400" s="37"/>
      <c r="P400" s="37"/>
      <c r="Q400" s="37"/>
      <c r="R400" s="37"/>
      <c r="S400" s="37"/>
      <c r="T400" s="37"/>
      <c r="U400" s="37"/>
      <c r="V400" s="37"/>
      <c r="W400" s="37"/>
      <c r="X400" s="37"/>
      <c r="Y400" s="37"/>
      <c r="Z400" s="37"/>
      <c r="AA400" s="5"/>
      <c r="AB400" s="5"/>
      <c r="AC400" s="5"/>
      <c r="AD400" s="5"/>
      <c r="AE400" s="5"/>
      <c r="AF400" s="5"/>
      <c r="AG400" s="5"/>
      <c r="AH400" s="5"/>
      <c r="AI400" s="5"/>
      <c r="AM400" s="23"/>
      <c r="AN400" s="37"/>
    </row>
    <row r="401" spans="1:40" x14ac:dyDescent="0.2">
      <c r="A401" s="11"/>
      <c r="B401" s="11"/>
      <c r="C401" s="29" t="s">
        <v>269</v>
      </c>
      <c r="D401" s="29" t="s">
        <v>269</v>
      </c>
      <c r="E401" s="37"/>
      <c r="F401" s="5"/>
      <c r="G401" s="5"/>
      <c r="H401" s="5"/>
      <c r="I401" s="5"/>
      <c r="J401" s="37"/>
      <c r="K401" s="37"/>
      <c r="L401" s="37"/>
      <c r="M401" s="37"/>
      <c r="N401" s="37"/>
      <c r="O401" s="37"/>
      <c r="P401" s="37"/>
      <c r="Q401" s="37"/>
      <c r="R401" s="37"/>
      <c r="S401" s="37"/>
      <c r="T401" s="37"/>
      <c r="U401" s="37"/>
      <c r="V401" s="37"/>
      <c r="W401" s="37"/>
      <c r="X401" s="37"/>
      <c r="Y401" s="37"/>
      <c r="Z401" s="37"/>
      <c r="AA401" s="5"/>
      <c r="AB401" s="5"/>
      <c r="AC401" s="5"/>
      <c r="AD401" s="5"/>
      <c r="AE401" s="5"/>
      <c r="AF401" s="5"/>
      <c r="AG401" s="5"/>
      <c r="AH401" s="5"/>
      <c r="AI401" s="5"/>
      <c r="AM401" s="23"/>
      <c r="AN401" s="37"/>
    </row>
    <row r="402" spans="1:40" x14ac:dyDescent="0.2">
      <c r="A402" s="11"/>
      <c r="B402" s="11"/>
      <c r="C402" s="29" t="s">
        <v>269</v>
      </c>
      <c r="D402" s="29" t="s">
        <v>269</v>
      </c>
      <c r="E402" s="37"/>
      <c r="F402" s="160" t="s">
        <v>272</v>
      </c>
      <c r="G402" s="5"/>
      <c r="H402" s="5"/>
      <c r="I402" s="5"/>
      <c r="J402" s="37"/>
      <c r="K402" s="31"/>
      <c r="L402" s="5"/>
      <c r="M402" s="37"/>
      <c r="N402" s="37"/>
      <c r="O402" s="37"/>
      <c r="P402" s="37"/>
      <c r="Q402" s="31"/>
      <c r="R402" s="5"/>
      <c r="S402" s="37"/>
      <c r="T402" s="37"/>
      <c r="U402" s="37"/>
      <c r="V402" s="37"/>
      <c r="W402" s="37"/>
      <c r="X402" s="37"/>
      <c r="Y402" s="37"/>
      <c r="Z402" s="37"/>
      <c r="AA402" s="5"/>
      <c r="AB402" s="5"/>
      <c r="AC402" s="5"/>
      <c r="AD402" s="5"/>
      <c r="AE402" s="5"/>
      <c r="AF402" s="5"/>
      <c r="AG402" s="5"/>
      <c r="AH402" s="5"/>
      <c r="AI402" s="5"/>
      <c r="AM402" s="23"/>
      <c r="AN402" s="37"/>
    </row>
    <row r="403" spans="1:40" x14ac:dyDescent="0.2">
      <c r="A403" s="11"/>
      <c r="B403" s="11"/>
      <c r="C403" s="29" t="s">
        <v>269</v>
      </c>
      <c r="D403" s="29" t="s">
        <v>269</v>
      </c>
      <c r="E403" s="37"/>
      <c r="F403" s="5"/>
      <c r="G403" s="5"/>
      <c r="H403" s="5"/>
      <c r="I403" s="5"/>
      <c r="J403" s="37"/>
      <c r="K403" s="37"/>
      <c r="L403" s="37"/>
      <c r="M403" s="37"/>
      <c r="N403" s="37"/>
      <c r="O403" s="37"/>
      <c r="P403" s="37"/>
      <c r="Q403" s="37"/>
      <c r="R403" s="37"/>
      <c r="S403" s="37"/>
      <c r="T403" s="37"/>
      <c r="U403" s="37"/>
      <c r="V403" s="37"/>
      <c r="W403" s="37"/>
      <c r="X403" s="37"/>
      <c r="Y403" s="37"/>
      <c r="Z403" s="37"/>
      <c r="AA403" s="5"/>
      <c r="AB403" s="5"/>
      <c r="AC403" s="37"/>
      <c r="AD403" s="5"/>
      <c r="AE403" s="5"/>
      <c r="AF403" s="5"/>
      <c r="AG403" s="5"/>
      <c r="AH403" s="5"/>
      <c r="AI403" s="5"/>
      <c r="AM403" s="23"/>
      <c r="AN403" s="37"/>
    </row>
    <row r="404" spans="1:40" x14ac:dyDescent="0.2">
      <c r="A404" s="11"/>
      <c r="B404" s="11"/>
      <c r="C404" s="29" t="s">
        <v>269</v>
      </c>
      <c r="D404" s="29" t="s">
        <v>269</v>
      </c>
      <c r="E404" s="37"/>
      <c r="F404" s="5" t="s">
        <v>273</v>
      </c>
      <c r="G404" s="5"/>
      <c r="H404" s="5"/>
      <c r="I404" s="5"/>
      <c r="J404" s="37"/>
      <c r="K404" s="37"/>
      <c r="L404" s="31"/>
      <c r="M404" s="37"/>
      <c r="N404" s="37"/>
      <c r="O404" s="37"/>
      <c r="P404" s="37"/>
      <c r="Q404" s="37"/>
      <c r="R404" s="37"/>
      <c r="S404" s="37"/>
      <c r="T404" s="37"/>
      <c r="U404" s="37"/>
      <c r="V404" s="37"/>
      <c r="W404" s="37"/>
      <c r="X404" s="111"/>
      <c r="Y404" s="112"/>
      <c r="Z404" s="112"/>
      <c r="AA404" s="113"/>
      <c r="AB404" s="5"/>
      <c r="AC404" s="5"/>
      <c r="AD404" s="5"/>
      <c r="AE404" s="5"/>
      <c r="AF404" s="5"/>
      <c r="AG404" s="5"/>
      <c r="AH404" s="5"/>
      <c r="AI404" s="5"/>
      <c r="AM404" s="23"/>
      <c r="AN404" s="37"/>
    </row>
    <row r="405" spans="1:40" x14ac:dyDescent="0.2">
      <c r="A405" s="11"/>
      <c r="B405" s="11"/>
      <c r="C405" s="29" t="s">
        <v>269</v>
      </c>
      <c r="D405" s="29" t="s">
        <v>269</v>
      </c>
      <c r="E405" s="37"/>
      <c r="F405" s="5" t="s">
        <v>274</v>
      </c>
      <c r="G405" s="5"/>
      <c r="H405" s="5"/>
      <c r="I405" s="5"/>
      <c r="J405" s="37"/>
      <c r="K405" s="37"/>
      <c r="L405" s="37"/>
      <c r="M405" s="37"/>
      <c r="N405" s="37"/>
      <c r="O405" s="37"/>
      <c r="P405" s="37"/>
      <c r="Q405" s="37"/>
      <c r="R405" s="37"/>
      <c r="S405" s="37"/>
      <c r="T405" s="37"/>
      <c r="U405" s="37"/>
      <c r="W405" s="37"/>
      <c r="X405" s="111"/>
      <c r="Y405" s="112"/>
      <c r="Z405" s="112"/>
      <c r="AA405" s="113"/>
      <c r="AB405" s="5"/>
      <c r="AC405" s="5"/>
      <c r="AD405" s="5"/>
      <c r="AE405" s="5"/>
      <c r="AF405" s="5"/>
      <c r="AG405" s="5"/>
      <c r="AH405" s="5"/>
      <c r="AI405" s="5"/>
      <c r="AM405" s="23"/>
      <c r="AN405" s="37"/>
    </row>
    <row r="406" spans="1:40" x14ac:dyDescent="0.2">
      <c r="A406" s="11"/>
      <c r="B406" s="11"/>
      <c r="C406" s="29" t="s">
        <v>269</v>
      </c>
      <c r="D406" s="29" t="s">
        <v>269</v>
      </c>
      <c r="E406" s="37"/>
      <c r="F406" s="5"/>
      <c r="G406" s="5"/>
      <c r="H406" s="5"/>
      <c r="I406" s="5"/>
      <c r="J406" s="37"/>
      <c r="K406" s="37"/>
      <c r="L406" s="37"/>
      <c r="M406" s="37"/>
      <c r="N406" s="37"/>
      <c r="O406" s="37"/>
      <c r="P406" s="37"/>
      <c r="Q406" s="37"/>
      <c r="R406" s="37"/>
      <c r="S406" s="37"/>
      <c r="T406" s="37"/>
      <c r="U406" s="37"/>
      <c r="V406" s="37"/>
      <c r="W406" s="37"/>
      <c r="X406" s="37"/>
      <c r="Y406" s="37"/>
      <c r="Z406" s="37"/>
      <c r="AA406" s="37"/>
      <c r="AB406" s="5"/>
      <c r="AC406" s="5"/>
      <c r="AD406" s="5"/>
      <c r="AE406" s="5"/>
      <c r="AF406" s="5"/>
      <c r="AG406" s="5"/>
      <c r="AH406" s="5"/>
      <c r="AI406" s="5"/>
      <c r="AM406" s="23"/>
      <c r="AN406" s="37"/>
    </row>
    <row r="407" spans="1:40" x14ac:dyDescent="0.2">
      <c r="A407" s="11"/>
      <c r="B407" s="11"/>
      <c r="C407" s="29" t="s">
        <v>269</v>
      </c>
      <c r="D407" s="29" t="s">
        <v>269</v>
      </c>
      <c r="E407" s="37"/>
      <c r="F407" s="5" t="s">
        <v>275</v>
      </c>
      <c r="G407" s="5"/>
      <c r="H407" s="5"/>
      <c r="I407" s="5"/>
      <c r="J407" s="37"/>
      <c r="K407" s="37"/>
      <c r="L407" s="37"/>
      <c r="M407" s="37"/>
      <c r="N407" s="37"/>
      <c r="O407" s="37"/>
      <c r="P407" s="37"/>
      <c r="Q407" s="37"/>
      <c r="R407" s="37"/>
      <c r="S407" s="37"/>
      <c r="T407" s="37"/>
      <c r="U407" s="37"/>
      <c r="V407" s="37"/>
      <c r="W407" s="37"/>
      <c r="X407" s="111"/>
      <c r="Y407" s="112"/>
      <c r="Z407" s="112"/>
      <c r="AA407" s="113"/>
      <c r="AB407" s="5"/>
      <c r="AC407" s="5"/>
      <c r="AD407" s="5"/>
      <c r="AE407" s="5"/>
      <c r="AF407" s="5"/>
      <c r="AG407" s="5"/>
      <c r="AH407" s="5"/>
      <c r="AI407" s="5"/>
      <c r="AM407" s="23"/>
      <c r="AN407" s="37"/>
    </row>
    <row r="408" spans="1:40" x14ac:dyDescent="0.2">
      <c r="A408" s="11"/>
      <c r="B408" s="11"/>
      <c r="C408" s="29" t="s">
        <v>269</v>
      </c>
      <c r="D408" s="29" t="s">
        <v>269</v>
      </c>
      <c r="E408" s="37"/>
      <c r="F408" s="5"/>
      <c r="G408" s="5"/>
      <c r="H408" s="5"/>
      <c r="I408" s="5"/>
      <c r="J408" s="37"/>
      <c r="K408" s="37"/>
      <c r="L408" s="37"/>
      <c r="M408" s="37"/>
      <c r="N408" s="37"/>
      <c r="O408" s="37"/>
      <c r="P408" s="37"/>
      <c r="Q408" s="37"/>
      <c r="R408" s="37"/>
      <c r="S408" s="37"/>
      <c r="T408" s="37"/>
      <c r="U408" s="37"/>
      <c r="V408" s="37"/>
      <c r="W408" s="37"/>
      <c r="X408" s="37"/>
      <c r="Y408" s="37"/>
      <c r="Z408" s="37"/>
      <c r="AA408" s="37"/>
      <c r="AB408" s="5"/>
      <c r="AC408" s="5"/>
      <c r="AD408" s="5"/>
      <c r="AE408" s="5"/>
      <c r="AF408" s="5"/>
      <c r="AG408" s="5"/>
      <c r="AH408" s="5"/>
      <c r="AI408" s="5"/>
      <c r="AM408" s="23"/>
      <c r="AN408" s="37"/>
    </row>
    <row r="409" spans="1:40" x14ac:dyDescent="0.2">
      <c r="A409" s="11"/>
      <c r="B409" s="11"/>
      <c r="C409" s="29" t="s">
        <v>269</v>
      </c>
      <c r="D409" s="29" t="s">
        <v>269</v>
      </c>
      <c r="E409" s="37"/>
      <c r="F409" s="5" t="s">
        <v>276</v>
      </c>
      <c r="G409" s="5"/>
      <c r="H409" s="5"/>
      <c r="I409" s="5"/>
      <c r="J409" s="37"/>
      <c r="K409" s="37"/>
      <c r="L409" s="37"/>
      <c r="M409" s="37"/>
      <c r="N409" s="37"/>
      <c r="O409" s="37"/>
      <c r="P409" s="37"/>
      <c r="Q409" s="37"/>
      <c r="R409" s="37"/>
      <c r="S409" s="37"/>
      <c r="T409" s="37"/>
      <c r="U409" s="37"/>
      <c r="V409" s="37"/>
      <c r="W409" s="37"/>
      <c r="X409" s="37"/>
      <c r="Y409" s="37"/>
      <c r="Z409" s="37"/>
      <c r="AA409" s="37"/>
      <c r="AB409" s="5"/>
      <c r="AC409" s="5"/>
      <c r="AD409" s="5"/>
      <c r="AE409" s="5"/>
      <c r="AF409" s="5"/>
      <c r="AG409" s="5"/>
      <c r="AH409" s="5"/>
      <c r="AI409" s="5"/>
      <c r="AM409" s="23"/>
      <c r="AN409" s="37"/>
    </row>
    <row r="410" spans="1:40" x14ac:dyDescent="0.2">
      <c r="A410" s="11"/>
      <c r="B410" s="11"/>
      <c r="C410" s="29" t="s">
        <v>269</v>
      </c>
      <c r="D410" s="29" t="s">
        <v>269</v>
      </c>
      <c r="E410" s="37"/>
      <c r="F410" s="5"/>
      <c r="G410" s="5"/>
      <c r="H410" s="5"/>
      <c r="I410" s="5"/>
      <c r="J410" s="37"/>
      <c r="K410" s="37"/>
      <c r="L410" s="27"/>
      <c r="M410" s="5" t="s">
        <v>277</v>
      </c>
      <c r="N410" s="5"/>
      <c r="O410" s="5"/>
      <c r="P410" s="5"/>
      <c r="Q410" s="5" t="e">
        <f>{#VALUE!}</f>
        <v>#VALUE!</v>
      </c>
      <c r="R410" s="27"/>
      <c r="S410" s="5" t="s">
        <v>170</v>
      </c>
      <c r="T410" s="37"/>
      <c r="U410" s="37"/>
      <c r="V410" s="27"/>
      <c r="W410" s="5" t="s">
        <v>172</v>
      </c>
      <c r="X410" s="37"/>
      <c r="Y410" s="37"/>
      <c r="Z410" s="37"/>
      <c r="AA410" s="37"/>
      <c r="AB410" s="5"/>
      <c r="AC410" s="5"/>
      <c r="AD410" s="5"/>
      <c r="AE410" s="5"/>
      <c r="AF410" s="5"/>
      <c r="AG410" s="5"/>
      <c r="AH410" s="5"/>
      <c r="AI410" s="5"/>
      <c r="AM410" s="23"/>
      <c r="AN410" s="37"/>
    </row>
    <row r="411" spans="1:40" x14ac:dyDescent="0.2">
      <c r="A411" s="11"/>
      <c r="B411" s="11"/>
      <c r="C411" s="29" t="s">
        <v>269</v>
      </c>
      <c r="D411" s="29" t="s">
        <v>269</v>
      </c>
      <c r="E411" s="37"/>
      <c r="F411" s="5"/>
      <c r="G411" s="5"/>
      <c r="H411" s="5"/>
      <c r="I411" s="5"/>
      <c r="J411" s="37"/>
      <c r="K411" s="37"/>
      <c r="L411" s="28"/>
      <c r="M411" s="5" t="s">
        <v>278</v>
      </c>
      <c r="N411" s="5"/>
      <c r="O411" s="5"/>
      <c r="P411" s="5"/>
      <c r="Q411" s="5" t="e">
        <f>{#VALUE!}</f>
        <v>#VALUE!</v>
      </c>
      <c r="R411" s="28"/>
      <c r="S411" s="5" t="s">
        <v>170</v>
      </c>
      <c r="T411" s="37"/>
      <c r="U411" s="37"/>
      <c r="V411" s="28"/>
      <c r="W411" s="5" t="s">
        <v>172</v>
      </c>
      <c r="X411" s="37"/>
      <c r="Y411" s="37"/>
      <c r="Z411" s="37"/>
      <c r="AA411" s="37"/>
      <c r="AB411" s="5"/>
      <c r="AC411" s="5"/>
      <c r="AD411" s="5"/>
      <c r="AE411" s="5"/>
      <c r="AF411" s="5"/>
      <c r="AG411" s="5"/>
      <c r="AH411" s="5"/>
      <c r="AI411" s="5"/>
      <c r="AM411" s="23"/>
      <c r="AN411" s="37"/>
    </row>
    <row r="412" spans="1:40" x14ac:dyDescent="0.2">
      <c r="A412" s="11"/>
      <c r="B412" s="11"/>
      <c r="C412" s="29" t="s">
        <v>269</v>
      </c>
      <c r="D412" s="29" t="s">
        <v>269</v>
      </c>
      <c r="E412" s="37"/>
      <c r="F412" s="37"/>
      <c r="G412" s="37"/>
      <c r="H412" s="37"/>
      <c r="I412" s="37"/>
      <c r="J412" s="37"/>
      <c r="K412" s="37"/>
      <c r="L412" s="28"/>
      <c r="M412" s="5" t="s">
        <v>279</v>
      </c>
      <c r="N412" s="5"/>
      <c r="O412" s="5"/>
      <c r="P412" s="5"/>
      <c r="Q412" s="5"/>
      <c r="R412" s="37"/>
      <c r="S412" s="37"/>
      <c r="T412" s="37"/>
      <c r="U412" s="37"/>
      <c r="V412" s="37"/>
      <c r="W412" s="37"/>
      <c r="X412" s="37"/>
      <c r="Y412" s="37"/>
      <c r="Z412" s="37"/>
      <c r="AA412" s="37"/>
      <c r="AB412" s="5"/>
      <c r="AC412" s="5"/>
      <c r="AD412" s="5"/>
      <c r="AE412" s="5"/>
      <c r="AF412" s="5"/>
      <c r="AG412" s="5"/>
      <c r="AH412" s="5"/>
      <c r="AI412" s="5"/>
      <c r="AM412" s="23"/>
      <c r="AN412" s="37"/>
    </row>
    <row r="413" spans="1:40" x14ac:dyDescent="0.2">
      <c r="A413" s="11"/>
      <c r="B413" s="11"/>
      <c r="C413" s="29" t="s">
        <v>269</v>
      </c>
      <c r="D413" s="29" t="s">
        <v>269</v>
      </c>
      <c r="E413" s="37"/>
      <c r="F413" s="37"/>
      <c r="G413" s="37"/>
      <c r="H413" s="37"/>
      <c r="I413" s="37"/>
      <c r="J413" s="37"/>
      <c r="K413" s="37"/>
      <c r="L413" s="28"/>
      <c r="M413" s="5" t="s">
        <v>280</v>
      </c>
      <c r="N413" s="5"/>
      <c r="O413" s="5"/>
      <c r="P413" s="5"/>
      <c r="Q413" s="5"/>
      <c r="R413" s="37"/>
      <c r="S413" s="37"/>
      <c r="T413" s="37"/>
      <c r="U413" s="37"/>
      <c r="V413" s="37"/>
      <c r="W413" s="37"/>
      <c r="X413" s="37"/>
      <c r="Y413" s="37"/>
      <c r="Z413" s="37"/>
      <c r="AA413" s="5"/>
      <c r="AB413" s="5"/>
      <c r="AC413" s="5"/>
      <c r="AD413" s="5"/>
      <c r="AE413" s="5"/>
      <c r="AF413" s="5"/>
      <c r="AG413" s="5"/>
      <c r="AH413" s="5"/>
      <c r="AI413" s="5"/>
      <c r="AM413" s="23"/>
      <c r="AN413" s="37"/>
    </row>
    <row r="414" spans="1:40" x14ac:dyDescent="0.2">
      <c r="A414" s="11"/>
      <c r="B414" s="11"/>
      <c r="C414" s="29" t="s">
        <v>269</v>
      </c>
      <c r="D414" s="29" t="s">
        <v>269</v>
      </c>
      <c r="E414" s="37"/>
      <c r="F414" s="5"/>
      <c r="G414" s="5"/>
      <c r="H414" s="5"/>
      <c r="I414" s="5"/>
      <c r="J414" s="5"/>
      <c r="K414" s="5"/>
      <c r="L414" s="31"/>
      <c r="M414" s="5"/>
      <c r="N414" s="5"/>
      <c r="O414" s="5"/>
      <c r="P414" s="5"/>
      <c r="Q414" s="5"/>
      <c r="R414" s="5"/>
      <c r="S414" s="5"/>
      <c r="T414" s="5"/>
      <c r="U414" s="5"/>
      <c r="V414" s="5"/>
      <c r="W414" s="5"/>
      <c r="X414" s="5"/>
      <c r="Y414" s="5"/>
      <c r="Z414" s="37"/>
      <c r="AA414" s="5"/>
      <c r="AB414" s="5"/>
      <c r="AC414" s="5"/>
      <c r="AD414" s="5"/>
      <c r="AE414" s="5"/>
      <c r="AF414" s="5"/>
      <c r="AG414" s="5"/>
      <c r="AH414" s="5"/>
      <c r="AI414" s="5"/>
      <c r="AM414" s="23"/>
      <c r="AN414" s="37"/>
    </row>
    <row r="415" spans="1:40" x14ac:dyDescent="0.2">
      <c r="A415" s="11"/>
      <c r="B415" s="11"/>
      <c r="C415" s="29" t="s">
        <v>269</v>
      </c>
      <c r="D415" s="27"/>
      <c r="E415" s="5" t="s">
        <v>281</v>
      </c>
      <c r="F415" s="37"/>
      <c r="G415" s="37"/>
      <c r="H415" s="37"/>
      <c r="I415" s="37"/>
      <c r="J415" s="37"/>
      <c r="K415" s="37"/>
      <c r="L415" s="37"/>
      <c r="M415" s="37"/>
      <c r="N415" s="37"/>
      <c r="O415" s="37"/>
      <c r="P415" s="37"/>
      <c r="Q415" s="37"/>
      <c r="R415" s="37"/>
      <c r="S415" s="37"/>
      <c r="T415" s="37"/>
      <c r="U415" s="37"/>
      <c r="V415" s="37"/>
      <c r="W415" s="37"/>
      <c r="X415" s="37"/>
      <c r="Y415" s="37"/>
      <c r="Z415" s="37"/>
      <c r="AA415" s="5"/>
      <c r="AB415" s="5"/>
      <c r="AC415" s="5"/>
      <c r="AD415" s="5"/>
      <c r="AE415" s="5"/>
      <c r="AF415" s="5"/>
      <c r="AG415" s="5"/>
      <c r="AH415" s="5"/>
      <c r="AI415" s="5"/>
      <c r="AM415" s="23"/>
      <c r="AN415" s="37"/>
    </row>
    <row r="416" spans="1:40" x14ac:dyDescent="0.2">
      <c r="A416" s="11"/>
      <c r="B416" s="11"/>
      <c r="C416" s="29" t="s">
        <v>269</v>
      </c>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5"/>
      <c r="AB416" s="5"/>
      <c r="AC416" s="5"/>
      <c r="AD416" s="5"/>
      <c r="AE416" s="5"/>
      <c r="AF416" s="5"/>
      <c r="AG416" s="5"/>
      <c r="AH416" s="5"/>
      <c r="AI416" s="5"/>
      <c r="AM416" s="23"/>
      <c r="AN416" s="37"/>
    </row>
    <row r="417" spans="1:40" x14ac:dyDescent="0.2">
      <c r="A417" s="11"/>
      <c r="B417" s="11"/>
      <c r="C417" s="29" t="s">
        <v>269</v>
      </c>
      <c r="D417" s="37"/>
      <c r="E417" s="37"/>
      <c r="F417" s="5" t="s">
        <v>271</v>
      </c>
      <c r="G417" s="5"/>
      <c r="H417" s="5"/>
      <c r="I417" s="5"/>
      <c r="J417" s="70"/>
      <c r="K417" s="70"/>
      <c r="L417" s="70"/>
      <c r="M417" s="70"/>
      <c r="N417" s="37"/>
      <c r="O417" s="37"/>
      <c r="P417" s="37"/>
      <c r="Q417" s="37"/>
      <c r="R417" s="37"/>
      <c r="S417" s="37"/>
      <c r="T417" s="37"/>
      <c r="U417" s="37"/>
      <c r="V417" s="37"/>
      <c r="W417" s="37"/>
      <c r="X417" s="37"/>
      <c r="Y417" s="37"/>
      <c r="Z417" s="37"/>
      <c r="AA417" s="5"/>
      <c r="AB417" s="5"/>
      <c r="AC417" s="5"/>
      <c r="AD417" s="5"/>
      <c r="AE417" s="5"/>
      <c r="AF417" s="5"/>
      <c r="AG417" s="5"/>
      <c r="AH417" s="5"/>
      <c r="AI417" s="5"/>
      <c r="AM417" s="23"/>
      <c r="AN417" s="37"/>
    </row>
    <row r="418" spans="1:40" x14ac:dyDescent="0.2">
      <c r="A418" s="11"/>
      <c r="B418" s="11"/>
      <c r="C418" s="29" t="s">
        <v>269</v>
      </c>
      <c r="D418" s="37"/>
      <c r="E418" s="37"/>
      <c r="F418" s="5"/>
      <c r="G418" s="5"/>
      <c r="H418" s="5"/>
      <c r="I418" s="5"/>
      <c r="J418" s="37"/>
      <c r="K418" s="37"/>
      <c r="L418" s="37"/>
      <c r="M418" s="37"/>
      <c r="N418" s="37"/>
      <c r="O418" s="37"/>
      <c r="P418" s="37"/>
      <c r="Q418" s="37"/>
      <c r="R418" s="37"/>
      <c r="S418" s="37"/>
      <c r="T418" s="37"/>
      <c r="U418" s="37"/>
      <c r="V418" s="37"/>
      <c r="W418" s="37"/>
      <c r="X418" s="37"/>
      <c r="Y418" s="37"/>
      <c r="Z418" s="37"/>
      <c r="AA418" s="5"/>
      <c r="AB418" s="5"/>
      <c r="AC418" s="5"/>
      <c r="AD418" s="5"/>
      <c r="AE418" s="5"/>
      <c r="AF418" s="5"/>
      <c r="AG418" s="5"/>
      <c r="AH418" s="5"/>
      <c r="AI418" s="5"/>
      <c r="AM418" s="23"/>
      <c r="AN418" s="37"/>
    </row>
    <row r="419" spans="1:40" x14ac:dyDescent="0.2">
      <c r="A419" s="11"/>
      <c r="B419" s="11"/>
      <c r="C419" s="29" t="s">
        <v>269</v>
      </c>
      <c r="D419" s="37"/>
      <c r="E419" s="37"/>
      <c r="F419" s="5" t="s">
        <v>282</v>
      </c>
      <c r="G419" s="5"/>
      <c r="H419" s="5"/>
      <c r="I419" s="5"/>
      <c r="J419" s="37"/>
      <c r="K419" s="37"/>
      <c r="L419" s="37"/>
      <c r="M419" s="37"/>
      <c r="N419" s="37"/>
      <c r="O419" s="70"/>
      <c r="P419" s="70"/>
      <c r="Q419" s="70"/>
      <c r="R419" s="70"/>
      <c r="S419" s="37"/>
      <c r="X419" s="37"/>
      <c r="Y419" s="37"/>
      <c r="Z419" s="37"/>
      <c r="AA419" s="5"/>
      <c r="AB419" s="5"/>
      <c r="AC419" s="5"/>
      <c r="AD419" s="5"/>
      <c r="AE419" s="5"/>
      <c r="AF419" s="5"/>
      <c r="AG419" s="5"/>
      <c r="AH419" s="5"/>
      <c r="AI419" s="5"/>
      <c r="AM419" s="23"/>
      <c r="AN419" s="37"/>
    </row>
    <row r="420" spans="1:40" x14ac:dyDescent="0.2">
      <c r="A420" s="11"/>
      <c r="B420" s="11"/>
      <c r="C420" s="29" t="s">
        <v>269</v>
      </c>
      <c r="D420" s="37"/>
      <c r="E420" s="37"/>
      <c r="F420" s="5"/>
      <c r="G420" s="5"/>
      <c r="H420" s="5"/>
      <c r="I420" s="5"/>
      <c r="J420" s="37"/>
      <c r="K420" s="37"/>
      <c r="L420" s="37"/>
      <c r="M420" s="37"/>
      <c r="N420" s="37"/>
      <c r="O420" s="37"/>
      <c r="P420" s="37"/>
      <c r="Q420" s="37"/>
      <c r="R420" s="37"/>
      <c r="S420" s="37"/>
      <c r="T420" s="37"/>
      <c r="U420" s="37"/>
      <c r="V420" s="37"/>
      <c r="W420" s="37"/>
      <c r="X420" s="37"/>
      <c r="Y420" s="37"/>
      <c r="Z420" s="37"/>
      <c r="AA420" s="5"/>
      <c r="AB420" s="5"/>
      <c r="AC420" s="5"/>
      <c r="AD420" s="5"/>
      <c r="AE420" s="5"/>
      <c r="AF420" s="5"/>
      <c r="AG420" s="5"/>
      <c r="AH420" s="5"/>
      <c r="AI420" s="5"/>
      <c r="AM420" s="23"/>
      <c r="AN420" s="37"/>
    </row>
    <row r="421" spans="1:40" x14ac:dyDescent="0.2">
      <c r="A421" s="11"/>
      <c r="B421" s="11"/>
      <c r="C421" s="29" t="s">
        <v>269</v>
      </c>
      <c r="D421" s="37"/>
      <c r="E421" s="37"/>
      <c r="F421" s="13" t="s">
        <v>283</v>
      </c>
      <c r="G421" s="5"/>
      <c r="H421" s="5"/>
      <c r="I421" s="5"/>
      <c r="J421" s="37"/>
      <c r="K421" s="37"/>
      <c r="L421" s="37"/>
      <c r="M421" s="37"/>
      <c r="N421" s="37"/>
      <c r="O421" s="37"/>
      <c r="P421" s="37"/>
      <c r="Q421" s="37"/>
      <c r="R421" s="37"/>
      <c r="S421" s="37"/>
      <c r="T421" s="37"/>
      <c r="U421" s="37"/>
      <c r="V421" s="37"/>
      <c r="W421" s="37"/>
      <c r="X421" s="37"/>
      <c r="Y421" s="37"/>
      <c r="Z421" s="37"/>
      <c r="AA421" s="5"/>
      <c r="AB421" s="5"/>
      <c r="AC421" s="5"/>
      <c r="AD421" s="5"/>
      <c r="AE421" s="5"/>
      <c r="AF421" s="5"/>
      <c r="AG421" s="5"/>
      <c r="AH421" s="5"/>
      <c r="AI421" s="5"/>
      <c r="AM421" s="23"/>
      <c r="AN421" s="37"/>
    </row>
    <row r="422" spans="1:40" x14ac:dyDescent="0.2">
      <c r="A422" s="11"/>
      <c r="B422" s="11"/>
      <c r="C422" s="29" t="s">
        <v>269</v>
      </c>
      <c r="D422" s="37"/>
      <c r="E422" s="37"/>
      <c r="F422" s="13" t="s">
        <v>284</v>
      </c>
      <c r="G422" s="5"/>
      <c r="H422" s="5"/>
      <c r="I422" s="5"/>
      <c r="J422" s="37"/>
      <c r="K422" s="37"/>
      <c r="L422" s="37"/>
      <c r="M422" s="37"/>
      <c r="N422" s="37"/>
      <c r="O422" s="37"/>
      <c r="P422" s="37"/>
      <c r="Q422" s="37"/>
      <c r="R422" s="37"/>
      <c r="S422" s="37"/>
      <c r="T422" s="37"/>
      <c r="U422" s="37"/>
      <c r="V422" s="37"/>
      <c r="W422" s="37"/>
      <c r="X422" s="37"/>
      <c r="Y422" s="37"/>
      <c r="Z422" s="37"/>
      <c r="AA422" s="5"/>
      <c r="AB422" s="5"/>
      <c r="AC422" s="5"/>
      <c r="AD422" s="5"/>
      <c r="AE422" s="5"/>
      <c r="AF422" s="5"/>
      <c r="AG422" s="5"/>
      <c r="AH422" s="5"/>
      <c r="AI422" s="5"/>
      <c r="AM422" s="23"/>
      <c r="AN422" s="37"/>
    </row>
    <row r="423" spans="1:40" x14ac:dyDescent="0.2">
      <c r="A423" s="11"/>
      <c r="B423" s="11"/>
      <c r="C423" s="29" t="s">
        <v>269</v>
      </c>
      <c r="D423" s="37"/>
      <c r="E423" s="37"/>
      <c r="F423" s="13" t="s">
        <v>285</v>
      </c>
      <c r="G423" s="5"/>
      <c r="H423" s="5"/>
      <c r="I423" s="5"/>
      <c r="J423" s="37"/>
      <c r="K423" s="37"/>
      <c r="L423" s="37"/>
      <c r="M423" s="37"/>
      <c r="N423" s="37"/>
      <c r="O423" s="37"/>
      <c r="P423" s="37"/>
      <c r="Q423" s="37"/>
      <c r="R423" s="37"/>
      <c r="S423" s="37"/>
      <c r="T423" s="37"/>
      <c r="U423" s="37"/>
      <c r="V423" s="37"/>
      <c r="W423" s="37"/>
      <c r="X423" s="37"/>
      <c r="Y423" s="37"/>
      <c r="Z423" s="37"/>
      <c r="AA423" s="5"/>
      <c r="AB423" s="5"/>
      <c r="AC423" s="5"/>
      <c r="AD423" s="5"/>
      <c r="AE423" s="5"/>
      <c r="AF423" s="5"/>
      <c r="AG423" s="5"/>
      <c r="AH423" s="5"/>
      <c r="AI423" s="5"/>
      <c r="AM423" s="23"/>
      <c r="AN423" s="37"/>
    </row>
    <row r="424" spans="1:40" x14ac:dyDescent="0.2">
      <c r="A424" s="11"/>
      <c r="B424" s="11"/>
      <c r="C424" s="29" t="s">
        <v>269</v>
      </c>
      <c r="D424" s="37"/>
      <c r="E424" s="37"/>
      <c r="F424" s="64"/>
      <c r="G424" s="5"/>
      <c r="H424" s="5"/>
      <c r="I424" s="5"/>
      <c r="J424" s="37"/>
      <c r="K424" s="37"/>
      <c r="L424" s="37"/>
      <c r="M424" s="37"/>
      <c r="N424" s="37"/>
      <c r="O424" s="37"/>
      <c r="P424" s="37"/>
      <c r="Q424" s="37"/>
      <c r="R424" s="37"/>
      <c r="S424" s="37"/>
      <c r="T424" s="37"/>
      <c r="U424" s="37"/>
      <c r="V424" s="37"/>
      <c r="W424" s="37"/>
      <c r="X424" s="37"/>
      <c r="Y424" s="37"/>
      <c r="Z424" s="37"/>
      <c r="AA424" s="5"/>
      <c r="AB424" s="5"/>
      <c r="AC424" s="5"/>
      <c r="AD424" s="5"/>
      <c r="AE424" s="5"/>
      <c r="AF424" s="5"/>
      <c r="AG424" s="5"/>
      <c r="AH424" s="5"/>
      <c r="AI424" s="5"/>
      <c r="AM424" s="23"/>
      <c r="AN424" s="37"/>
    </row>
    <row r="425" spans="1:40" x14ac:dyDescent="0.2">
      <c r="A425" s="11"/>
      <c r="B425" s="11"/>
      <c r="C425" s="29" t="s">
        <v>269</v>
      </c>
      <c r="D425" s="37"/>
      <c r="E425" s="37"/>
      <c r="F425" s="5" t="s">
        <v>286</v>
      </c>
      <c r="G425" s="5"/>
      <c r="H425" s="5"/>
      <c r="I425" s="5"/>
      <c r="J425" s="37"/>
      <c r="K425" s="37"/>
      <c r="L425" s="37"/>
      <c r="M425" s="37"/>
      <c r="N425" s="37"/>
      <c r="O425" s="37"/>
      <c r="P425" s="37"/>
      <c r="Q425" s="37"/>
      <c r="R425" s="37"/>
      <c r="S425" s="37"/>
      <c r="T425" s="37"/>
      <c r="U425" s="37"/>
      <c r="V425" s="37"/>
      <c r="W425" s="37"/>
      <c r="X425" s="37"/>
      <c r="Y425" s="37"/>
      <c r="Z425" s="37"/>
      <c r="AA425" s="5"/>
      <c r="AB425" s="5"/>
      <c r="AC425" s="5"/>
      <c r="AD425" s="5"/>
      <c r="AE425" s="5"/>
      <c r="AF425" s="5"/>
      <c r="AG425" s="5"/>
      <c r="AH425" s="5"/>
      <c r="AI425" s="5"/>
      <c r="AM425" s="23"/>
      <c r="AN425" s="37"/>
    </row>
    <row r="426" spans="1:40" x14ac:dyDescent="0.2">
      <c r="A426" s="11"/>
      <c r="B426" s="11"/>
      <c r="C426" s="29" t="s">
        <v>269</v>
      </c>
      <c r="D426" s="37"/>
      <c r="E426" s="37"/>
      <c r="F426" s="27" t="s">
        <v>9</v>
      </c>
      <c r="G426" s="61" t="s">
        <v>27</v>
      </c>
      <c r="H426" s="5" t="s">
        <v>68</v>
      </c>
      <c r="I426" s="5"/>
      <c r="J426" s="5"/>
      <c r="K426" s="5"/>
      <c r="L426" s="5"/>
      <c r="M426" s="5"/>
      <c r="N426" s="37"/>
      <c r="O426" s="37"/>
      <c r="P426" s="37"/>
      <c r="Q426" s="37"/>
      <c r="R426" s="37"/>
      <c r="S426" s="37"/>
      <c r="U426" s="37"/>
      <c r="V426" s="37"/>
      <c r="W426" s="37"/>
      <c r="X426" s="37"/>
      <c r="Y426" s="37"/>
      <c r="Z426" s="37"/>
      <c r="AA426" s="5"/>
      <c r="AB426" s="5"/>
      <c r="AC426" s="5"/>
      <c r="AD426" s="5"/>
      <c r="AE426" s="5"/>
      <c r="AF426" s="5"/>
      <c r="AG426" s="5"/>
      <c r="AH426" s="5"/>
      <c r="AI426" s="5"/>
      <c r="AM426" s="23"/>
      <c r="AN426" s="37"/>
    </row>
    <row r="427" spans="1:40" x14ac:dyDescent="0.2">
      <c r="A427" s="11"/>
      <c r="B427" s="11"/>
      <c r="C427" s="29" t="s">
        <v>269</v>
      </c>
      <c r="D427" s="37"/>
      <c r="E427" s="37"/>
      <c r="F427" s="28"/>
      <c r="G427" s="61" t="s">
        <v>25</v>
      </c>
      <c r="H427" s="5"/>
      <c r="I427" s="5"/>
      <c r="J427" s="5"/>
      <c r="K427" s="5"/>
      <c r="L427" s="5"/>
      <c r="M427" s="5"/>
      <c r="N427" s="37"/>
      <c r="O427" s="37"/>
      <c r="P427" s="37"/>
      <c r="Q427" s="37"/>
      <c r="R427" s="37"/>
      <c r="S427" s="37"/>
      <c r="U427" s="37"/>
      <c r="V427" s="37"/>
      <c r="W427" s="37"/>
      <c r="X427" s="37"/>
      <c r="Y427" s="37"/>
      <c r="Z427" s="37"/>
      <c r="AA427" s="5"/>
      <c r="AB427" s="5"/>
      <c r="AC427" s="5"/>
      <c r="AD427" s="5"/>
      <c r="AE427" s="5"/>
      <c r="AF427" s="5"/>
      <c r="AG427" s="5"/>
      <c r="AH427" s="5"/>
      <c r="AI427" s="5"/>
      <c r="AM427" s="23"/>
      <c r="AN427" s="37"/>
    </row>
    <row r="428" spans="1:40" x14ac:dyDescent="0.2">
      <c r="A428" s="11"/>
      <c r="B428" s="11"/>
      <c r="C428" s="29" t="s">
        <v>269</v>
      </c>
      <c r="D428" s="37"/>
      <c r="E428" s="37"/>
      <c r="F428" s="31"/>
      <c r="G428" s="29" t="s">
        <v>15</v>
      </c>
      <c r="H428" s="5" t="s">
        <v>287</v>
      </c>
      <c r="I428" s="5"/>
      <c r="J428" s="5"/>
      <c r="K428" s="5"/>
      <c r="L428" s="5"/>
      <c r="M428" s="5"/>
      <c r="N428" s="37"/>
      <c r="O428" s="37"/>
      <c r="P428" s="70"/>
      <c r="Q428" s="70"/>
      <c r="R428" s="70"/>
      <c r="S428" s="70"/>
      <c r="U428" s="37"/>
      <c r="V428" s="37"/>
      <c r="W428" s="37"/>
      <c r="X428" s="37"/>
      <c r="Y428" s="37"/>
      <c r="Z428" s="37"/>
      <c r="AA428" s="5"/>
      <c r="AB428" s="5"/>
      <c r="AC428" s="5"/>
      <c r="AD428" s="5"/>
      <c r="AE428" s="5"/>
      <c r="AF428" s="5"/>
      <c r="AG428" s="5"/>
      <c r="AH428" s="5"/>
      <c r="AI428" s="5"/>
      <c r="AM428" s="23"/>
      <c r="AN428" s="37"/>
    </row>
    <row r="429" spans="1:40" x14ac:dyDescent="0.2">
      <c r="A429" s="11"/>
      <c r="B429" s="11"/>
      <c r="C429" s="29" t="s">
        <v>269</v>
      </c>
      <c r="D429" s="37"/>
      <c r="E429" s="37"/>
      <c r="F429" s="37"/>
      <c r="G429" s="31"/>
      <c r="H429" s="161"/>
      <c r="I429" s="37"/>
      <c r="J429" s="37"/>
      <c r="K429" s="37"/>
      <c r="L429" s="37"/>
      <c r="M429" s="37"/>
      <c r="N429" s="37"/>
      <c r="O429" s="37"/>
      <c r="P429" s="37"/>
      <c r="Q429" s="37"/>
      <c r="R429" s="37"/>
      <c r="S429" s="37"/>
      <c r="T429" s="37"/>
      <c r="U429" s="37"/>
      <c r="V429" s="37"/>
      <c r="W429" s="37"/>
      <c r="X429" s="37"/>
      <c r="Y429" s="37"/>
      <c r="Z429" s="37"/>
      <c r="AA429" s="5"/>
      <c r="AB429" s="5"/>
      <c r="AC429" s="5"/>
      <c r="AD429" s="5"/>
      <c r="AE429" s="5"/>
      <c r="AF429" s="5"/>
      <c r="AG429" s="5"/>
      <c r="AH429" s="5"/>
      <c r="AI429" s="5"/>
      <c r="AM429" s="23"/>
      <c r="AN429" s="37"/>
    </row>
    <row r="430" spans="1:40" x14ac:dyDescent="0.2">
      <c r="A430" s="11"/>
      <c r="B430" s="11"/>
      <c r="C430" s="29" t="s">
        <v>15</v>
      </c>
      <c r="D430" s="5" t="s">
        <v>288</v>
      </c>
      <c r="E430" s="37"/>
      <c r="F430" s="37"/>
      <c r="G430" s="37"/>
      <c r="H430" s="37"/>
      <c r="I430" s="37"/>
      <c r="J430" s="37"/>
      <c r="K430" s="37"/>
      <c r="L430" s="37"/>
      <c r="M430" s="37"/>
      <c r="N430" s="37"/>
      <c r="O430" s="37"/>
      <c r="P430" s="37"/>
      <c r="Q430" s="37"/>
      <c r="R430" s="37"/>
      <c r="S430" s="37"/>
      <c r="T430" s="37"/>
      <c r="U430" s="37"/>
      <c r="V430" s="37"/>
      <c r="W430" s="37"/>
      <c r="X430" s="37"/>
      <c r="Y430" s="37"/>
      <c r="Z430" s="37"/>
      <c r="AA430" s="5"/>
      <c r="AB430" s="5"/>
      <c r="AC430" s="5"/>
      <c r="AD430" s="5"/>
      <c r="AE430" s="5"/>
      <c r="AF430" s="5"/>
      <c r="AG430" s="5"/>
      <c r="AH430" s="5"/>
      <c r="AI430" s="5"/>
      <c r="AM430" s="23"/>
      <c r="AN430" s="37"/>
    </row>
    <row r="431" spans="1:40" x14ac:dyDescent="0.2">
      <c r="A431" s="11"/>
      <c r="B431" s="11"/>
      <c r="C431" s="37"/>
      <c r="D431" s="27" t="s">
        <v>9</v>
      </c>
      <c r="E431" s="5" t="s">
        <v>289</v>
      </c>
      <c r="F431" s="5"/>
      <c r="G431" s="5"/>
      <c r="H431" s="5"/>
      <c r="I431" s="37"/>
      <c r="J431" s="37"/>
      <c r="K431" s="37"/>
      <c r="L431" s="37"/>
      <c r="M431" s="37"/>
      <c r="N431" s="37"/>
      <c r="O431" s="37"/>
      <c r="P431" s="37"/>
      <c r="Q431" s="37"/>
      <c r="R431" s="37"/>
      <c r="S431" s="37"/>
      <c r="T431" s="37"/>
      <c r="U431" s="37"/>
      <c r="V431" s="37"/>
      <c r="W431" s="37"/>
      <c r="X431" s="37"/>
      <c r="Y431" s="37"/>
      <c r="Z431" s="37"/>
      <c r="AA431" s="5"/>
      <c r="AB431" s="5"/>
      <c r="AC431" s="5"/>
      <c r="AD431" s="5"/>
      <c r="AE431" s="5"/>
      <c r="AF431" s="5"/>
      <c r="AG431" s="5"/>
      <c r="AH431" s="5"/>
      <c r="AI431" s="5"/>
      <c r="AM431" s="23"/>
      <c r="AN431" s="37"/>
    </row>
    <row r="432" spans="1:40" x14ac:dyDescent="0.2">
      <c r="A432" s="11"/>
      <c r="B432" s="11"/>
      <c r="C432" s="37"/>
      <c r="D432" s="29"/>
      <c r="E432" s="29" t="s">
        <v>15</v>
      </c>
      <c r="F432" s="5" t="s">
        <v>290</v>
      </c>
      <c r="G432" s="5"/>
      <c r="H432" s="5"/>
      <c r="I432" s="37"/>
      <c r="J432" s="37"/>
      <c r="K432" s="37"/>
      <c r="L432" s="37"/>
      <c r="M432" s="37"/>
      <c r="N432" s="37"/>
      <c r="O432" s="37"/>
      <c r="P432" s="37"/>
      <c r="Q432" s="37"/>
      <c r="R432" s="37"/>
      <c r="S432" s="37"/>
      <c r="T432" s="37"/>
      <c r="U432" s="37"/>
      <c r="V432" s="37"/>
      <c r="W432" s="37"/>
      <c r="X432" s="37"/>
      <c r="Y432" s="37"/>
      <c r="Z432" s="37"/>
      <c r="AA432" s="5"/>
      <c r="AB432" s="5"/>
      <c r="AC432" s="5"/>
      <c r="AD432" s="5"/>
      <c r="AE432" s="5"/>
      <c r="AF432" s="5"/>
      <c r="AG432" s="5"/>
      <c r="AH432" s="5"/>
      <c r="AI432" s="5"/>
      <c r="AM432" s="23"/>
      <c r="AN432" s="37"/>
    </row>
    <row r="433" spans="1:40" x14ac:dyDescent="0.2">
      <c r="A433" s="11"/>
      <c r="B433" s="11"/>
      <c r="C433" s="37"/>
      <c r="D433" s="29"/>
      <c r="E433" s="37"/>
      <c r="F433" s="27" t="s">
        <v>9</v>
      </c>
      <c r="G433" s="61" t="s">
        <v>27</v>
      </c>
      <c r="H433" s="5" t="s">
        <v>68</v>
      </c>
      <c r="I433" s="37"/>
      <c r="J433" s="37"/>
      <c r="K433" s="37"/>
      <c r="L433" s="37"/>
      <c r="M433" s="37"/>
      <c r="N433" s="37"/>
      <c r="O433" s="37"/>
      <c r="P433" s="37"/>
      <c r="Q433" s="37"/>
      <c r="R433" s="37"/>
      <c r="S433" s="37"/>
      <c r="T433" s="37"/>
      <c r="U433" s="37"/>
      <c r="V433" s="37"/>
      <c r="W433" s="37"/>
      <c r="X433" s="37"/>
      <c r="Y433" s="37"/>
      <c r="Z433" s="37"/>
      <c r="AA433" s="5"/>
      <c r="AB433" s="5"/>
      <c r="AC433" s="5"/>
      <c r="AD433" s="5"/>
      <c r="AE433" s="5"/>
      <c r="AF433" s="5"/>
      <c r="AG433" s="5"/>
      <c r="AH433" s="5"/>
      <c r="AI433" s="5"/>
      <c r="AM433" s="23"/>
      <c r="AN433" s="37"/>
    </row>
    <row r="434" spans="1:40" x14ac:dyDescent="0.2">
      <c r="A434" s="11"/>
      <c r="B434" s="11"/>
      <c r="C434" s="37"/>
      <c r="D434" s="29"/>
      <c r="E434" s="37"/>
      <c r="F434" s="27"/>
      <c r="G434" s="61" t="s">
        <v>25</v>
      </c>
      <c r="H434" s="37"/>
      <c r="I434" s="37"/>
      <c r="J434" s="37"/>
      <c r="K434" s="37"/>
      <c r="L434" s="37"/>
      <c r="M434" s="37"/>
      <c r="N434" s="37"/>
      <c r="O434" s="37"/>
      <c r="P434" s="37"/>
      <c r="Q434" s="37"/>
      <c r="R434" s="37"/>
      <c r="S434" s="37"/>
      <c r="T434" s="37"/>
      <c r="U434" s="37"/>
      <c r="V434" s="37"/>
      <c r="W434" s="37"/>
      <c r="X434" s="37"/>
      <c r="Y434" s="37"/>
      <c r="Z434" s="37"/>
      <c r="AA434" s="5"/>
      <c r="AB434" s="5"/>
      <c r="AC434" s="5"/>
      <c r="AD434" s="5"/>
      <c r="AE434" s="5"/>
      <c r="AF434" s="5"/>
      <c r="AG434" s="5"/>
      <c r="AH434" s="5"/>
      <c r="AI434" s="5"/>
      <c r="AM434" s="23"/>
      <c r="AN434" s="37"/>
    </row>
    <row r="435" spans="1:40" x14ac:dyDescent="0.2">
      <c r="A435" s="11"/>
      <c r="B435" s="11"/>
      <c r="C435" s="37"/>
      <c r="D435" s="29"/>
      <c r="E435" s="37"/>
      <c r="F435" s="29" t="s">
        <v>15</v>
      </c>
      <c r="G435" s="5" t="s">
        <v>291</v>
      </c>
      <c r="H435" s="5"/>
      <c r="I435" s="37"/>
      <c r="J435" s="37"/>
      <c r="K435" s="37"/>
      <c r="L435" s="37"/>
      <c r="M435" s="37"/>
      <c r="N435" s="37"/>
      <c r="O435" s="37"/>
      <c r="P435" s="37"/>
      <c r="Q435" s="37"/>
      <c r="R435" s="37"/>
      <c r="S435" s="37"/>
      <c r="T435" s="37"/>
      <c r="U435" s="37"/>
      <c r="V435" s="37"/>
      <c r="W435" s="37"/>
      <c r="X435" s="37"/>
      <c r="Y435" s="47"/>
      <c r="Z435" s="47"/>
      <c r="AA435" s="14"/>
      <c r="AB435" s="14"/>
      <c r="AC435" s="14"/>
      <c r="AD435" s="15"/>
      <c r="AE435" s="14"/>
      <c r="AF435" s="14"/>
      <c r="AG435" s="14"/>
      <c r="AH435" s="14"/>
      <c r="AI435" s="14"/>
      <c r="AM435" s="59"/>
      <c r="AN435" s="37"/>
    </row>
    <row r="436" spans="1:40" ht="145.5" x14ac:dyDescent="0.2">
      <c r="A436" s="11"/>
      <c r="B436" s="11"/>
      <c r="C436" s="5"/>
      <c r="D436" s="29"/>
      <c r="E436" s="5"/>
      <c r="F436" s="5"/>
      <c r="G436" s="152" t="s">
        <v>255</v>
      </c>
      <c r="H436" s="152"/>
      <c r="I436" s="96"/>
      <c r="J436" s="34"/>
      <c r="K436" s="154" t="s">
        <v>256</v>
      </c>
      <c r="L436" s="17"/>
      <c r="M436" s="17"/>
      <c r="N436" s="17"/>
      <c r="O436" s="17"/>
      <c r="P436" s="154" t="s">
        <v>257</v>
      </c>
      <c r="Q436" s="17"/>
      <c r="R436" s="17"/>
      <c r="S436" s="17"/>
      <c r="T436" s="154" t="s">
        <v>258</v>
      </c>
      <c r="U436" s="17"/>
      <c r="V436" s="17"/>
      <c r="W436" s="154" t="s">
        <v>259</v>
      </c>
      <c r="X436" s="17"/>
      <c r="Y436" s="17"/>
      <c r="Z436" s="17"/>
      <c r="AA436" s="17"/>
      <c r="AB436" s="154" t="s">
        <v>260</v>
      </c>
      <c r="AC436" s="17"/>
      <c r="AD436" s="17"/>
      <c r="AE436" s="17"/>
      <c r="AF436" s="154" t="s">
        <v>261</v>
      </c>
      <c r="AG436" s="17"/>
      <c r="AH436" s="154" t="s">
        <v>262</v>
      </c>
      <c r="AI436" s="56"/>
      <c r="AM436" s="59"/>
      <c r="AN436" s="37"/>
    </row>
    <row r="437" spans="1:40" x14ac:dyDescent="0.2">
      <c r="A437" s="11"/>
      <c r="B437" s="11"/>
      <c r="C437" s="5"/>
      <c r="D437" s="29"/>
      <c r="E437" s="5"/>
      <c r="F437" s="5"/>
      <c r="G437" s="155" t="s">
        <v>263</v>
      </c>
      <c r="H437" s="155"/>
      <c r="I437" s="37"/>
      <c r="J437" s="130"/>
      <c r="K437" s="131"/>
      <c r="L437" s="131"/>
      <c r="M437" s="132"/>
      <c r="N437" s="5"/>
      <c r="O437" s="130"/>
      <c r="P437" s="131"/>
      <c r="Q437" s="131"/>
      <c r="R437" s="132"/>
      <c r="S437" s="5"/>
      <c r="T437" s="109"/>
      <c r="U437" s="5"/>
      <c r="V437" s="130"/>
      <c r="W437" s="131"/>
      <c r="X437" s="131"/>
      <c r="Y437" s="132"/>
      <c r="Z437" s="5"/>
      <c r="AA437" s="130"/>
      <c r="AB437" s="131"/>
      <c r="AC437" s="131"/>
      <c r="AD437" s="132"/>
      <c r="AE437" s="5"/>
      <c r="AF437" s="109"/>
      <c r="AG437" s="5"/>
      <c r="AH437" s="109"/>
      <c r="AI437" s="59"/>
      <c r="AM437" s="59"/>
      <c r="AN437" s="37"/>
    </row>
    <row r="438" spans="1:40" x14ac:dyDescent="0.2">
      <c r="A438" s="11"/>
      <c r="B438" s="11"/>
      <c r="C438" s="5"/>
      <c r="D438" s="29"/>
      <c r="E438" s="5"/>
      <c r="F438" s="5"/>
      <c r="G438" s="156" t="s">
        <v>263</v>
      </c>
      <c r="H438" s="156"/>
      <c r="I438" s="37"/>
      <c r="J438" s="130"/>
      <c r="K438" s="131"/>
      <c r="L438" s="131"/>
      <c r="M438" s="132"/>
      <c r="N438" s="5"/>
      <c r="O438" s="130"/>
      <c r="P438" s="131"/>
      <c r="Q438" s="131"/>
      <c r="R438" s="132"/>
      <c r="S438" s="5"/>
      <c r="T438" s="128"/>
      <c r="U438" s="5"/>
      <c r="V438" s="130"/>
      <c r="W438" s="131"/>
      <c r="X438" s="131"/>
      <c r="Y438" s="132"/>
      <c r="Z438" s="5"/>
      <c r="AA438" s="130"/>
      <c r="AB438" s="131"/>
      <c r="AC438" s="131"/>
      <c r="AD438" s="132"/>
      <c r="AE438" s="5"/>
      <c r="AF438" s="128"/>
      <c r="AG438" s="5"/>
      <c r="AH438" s="128"/>
      <c r="AI438" s="59"/>
      <c r="AM438" s="59"/>
      <c r="AN438" s="37"/>
    </row>
    <row r="439" spans="1:40" x14ac:dyDescent="0.2">
      <c r="A439" s="11"/>
      <c r="B439" s="11"/>
      <c r="C439" s="5"/>
      <c r="D439" s="29"/>
      <c r="E439" s="5"/>
      <c r="F439" s="5"/>
      <c r="G439" s="156" t="s">
        <v>263</v>
      </c>
      <c r="H439" s="156"/>
      <c r="I439" s="37"/>
      <c r="J439" s="130"/>
      <c r="K439" s="131"/>
      <c r="L439" s="131"/>
      <c r="M439" s="132"/>
      <c r="N439" s="5"/>
      <c r="O439" s="130"/>
      <c r="P439" s="131"/>
      <c r="Q439" s="131"/>
      <c r="R439" s="132"/>
      <c r="S439" s="5"/>
      <c r="T439" s="128"/>
      <c r="U439" s="5"/>
      <c r="V439" s="130"/>
      <c r="W439" s="131"/>
      <c r="X439" s="131"/>
      <c r="Y439" s="132"/>
      <c r="Z439" s="5"/>
      <c r="AA439" s="130"/>
      <c r="AB439" s="131"/>
      <c r="AC439" s="131"/>
      <c r="AD439" s="132"/>
      <c r="AE439" s="5"/>
      <c r="AF439" s="128"/>
      <c r="AG439" s="5"/>
      <c r="AH439" s="128"/>
      <c r="AI439" s="59"/>
      <c r="AM439" s="59"/>
      <c r="AN439" s="37"/>
    </row>
    <row r="440" spans="1:40" x14ac:dyDescent="0.2">
      <c r="A440" s="11"/>
      <c r="B440" s="11"/>
      <c r="C440" s="5"/>
      <c r="D440" s="29"/>
      <c r="E440" s="5"/>
      <c r="F440" s="5"/>
      <c r="G440" s="156" t="s">
        <v>263</v>
      </c>
      <c r="H440" s="156"/>
      <c r="I440" s="37"/>
      <c r="J440" s="130"/>
      <c r="K440" s="131"/>
      <c r="L440" s="131"/>
      <c r="M440" s="132"/>
      <c r="N440" s="5"/>
      <c r="O440" s="130"/>
      <c r="P440" s="131"/>
      <c r="Q440" s="131"/>
      <c r="R440" s="132"/>
      <c r="S440" s="5"/>
      <c r="T440" s="128"/>
      <c r="U440" s="5"/>
      <c r="V440" s="130"/>
      <c r="W440" s="131"/>
      <c r="X440" s="131"/>
      <c r="Y440" s="132"/>
      <c r="Z440" s="5"/>
      <c r="AA440" s="130"/>
      <c r="AB440" s="131"/>
      <c r="AC440" s="131"/>
      <c r="AD440" s="132"/>
      <c r="AE440" s="5"/>
      <c r="AF440" s="128"/>
      <c r="AG440" s="5"/>
      <c r="AH440" s="128"/>
      <c r="AI440" s="59"/>
      <c r="AM440" s="59"/>
      <c r="AN440" s="37"/>
    </row>
    <row r="441" spans="1:40" x14ac:dyDescent="0.2">
      <c r="A441" s="11"/>
      <c r="B441" s="11"/>
      <c r="C441" s="5"/>
      <c r="D441" s="29"/>
      <c r="E441" s="5"/>
      <c r="F441" s="5"/>
      <c r="G441" s="156" t="s">
        <v>263</v>
      </c>
      <c r="H441" s="156"/>
      <c r="I441" s="37"/>
      <c r="J441" s="130"/>
      <c r="K441" s="131"/>
      <c r="L441" s="131"/>
      <c r="M441" s="132"/>
      <c r="N441" s="5"/>
      <c r="O441" s="130"/>
      <c r="P441" s="131"/>
      <c r="Q441" s="131"/>
      <c r="R441" s="132"/>
      <c r="S441" s="5"/>
      <c r="T441" s="128"/>
      <c r="U441" s="5"/>
      <c r="V441" s="130"/>
      <c r="W441" s="131"/>
      <c r="X441" s="131"/>
      <c r="Y441" s="132"/>
      <c r="Z441" s="5"/>
      <c r="AA441" s="130"/>
      <c r="AB441" s="131"/>
      <c r="AC441" s="131"/>
      <c r="AD441" s="132"/>
      <c r="AE441" s="5"/>
      <c r="AF441" s="128"/>
      <c r="AG441" s="5"/>
      <c r="AH441" s="128"/>
      <c r="AI441" s="59"/>
      <c r="AM441" s="59"/>
      <c r="AN441" s="37"/>
    </row>
    <row r="442" spans="1:40" x14ac:dyDescent="0.2">
      <c r="A442" s="11"/>
      <c r="B442" s="11"/>
      <c r="C442" s="5"/>
      <c r="D442" s="29"/>
      <c r="E442" s="5"/>
      <c r="F442" s="5"/>
      <c r="G442" s="156" t="s">
        <v>263</v>
      </c>
      <c r="H442" s="156"/>
      <c r="I442" s="37"/>
      <c r="J442" s="130"/>
      <c r="K442" s="131"/>
      <c r="L442" s="131"/>
      <c r="M442" s="132"/>
      <c r="N442" s="5"/>
      <c r="O442" s="130"/>
      <c r="P442" s="131"/>
      <c r="Q442" s="131"/>
      <c r="R442" s="132"/>
      <c r="S442" s="5"/>
      <c r="T442" s="128"/>
      <c r="U442" s="5"/>
      <c r="V442" s="130"/>
      <c r="W442" s="131"/>
      <c r="X442" s="131"/>
      <c r="Y442" s="132"/>
      <c r="Z442" s="5"/>
      <c r="AA442" s="130"/>
      <c r="AB442" s="131"/>
      <c r="AC442" s="131"/>
      <c r="AD442" s="132"/>
      <c r="AE442" s="5"/>
      <c r="AF442" s="128"/>
      <c r="AG442" s="5"/>
      <c r="AH442" s="128"/>
      <c r="AI442" s="59"/>
      <c r="AM442" s="59"/>
      <c r="AN442" s="37"/>
    </row>
    <row r="443" spans="1:40" x14ac:dyDescent="0.2">
      <c r="A443" s="11"/>
      <c r="B443" s="11"/>
      <c r="C443" s="5"/>
      <c r="D443" s="29"/>
      <c r="E443" s="5"/>
      <c r="F443" s="5"/>
      <c r="G443" s="156" t="s">
        <v>263</v>
      </c>
      <c r="H443" s="156"/>
      <c r="I443" s="37"/>
      <c r="J443" s="130"/>
      <c r="K443" s="131"/>
      <c r="L443" s="131"/>
      <c r="M443" s="132"/>
      <c r="N443" s="5"/>
      <c r="O443" s="130"/>
      <c r="P443" s="131"/>
      <c r="Q443" s="131"/>
      <c r="R443" s="132"/>
      <c r="S443" s="5"/>
      <c r="T443" s="128"/>
      <c r="U443" s="5"/>
      <c r="V443" s="130"/>
      <c r="W443" s="131"/>
      <c r="X443" s="131"/>
      <c r="Y443" s="132"/>
      <c r="Z443" s="5"/>
      <c r="AA443" s="130"/>
      <c r="AB443" s="131"/>
      <c r="AC443" s="131"/>
      <c r="AD443" s="132"/>
      <c r="AE443" s="5"/>
      <c r="AF443" s="128"/>
      <c r="AG443" s="5"/>
      <c r="AH443" s="128"/>
      <c r="AI443" s="59"/>
      <c r="AM443" s="59"/>
      <c r="AN443" s="37"/>
    </row>
    <row r="444" spans="1:40" x14ac:dyDescent="0.2">
      <c r="A444" s="11"/>
      <c r="B444" s="11"/>
      <c r="C444" s="5"/>
      <c r="D444" s="29"/>
      <c r="E444" s="5"/>
      <c r="F444" s="5"/>
      <c r="G444" s="156" t="s">
        <v>263</v>
      </c>
      <c r="H444" s="156"/>
      <c r="I444" s="37"/>
      <c r="J444" s="130"/>
      <c r="K444" s="131"/>
      <c r="L444" s="131"/>
      <c r="M444" s="132"/>
      <c r="N444" s="5"/>
      <c r="O444" s="130"/>
      <c r="P444" s="131"/>
      <c r="Q444" s="131"/>
      <c r="R444" s="132"/>
      <c r="S444" s="5"/>
      <c r="T444" s="128"/>
      <c r="U444" s="5"/>
      <c r="V444" s="130"/>
      <c r="W444" s="131"/>
      <c r="X444" s="131"/>
      <c r="Y444" s="132"/>
      <c r="Z444" s="5"/>
      <c r="AA444" s="130"/>
      <c r="AB444" s="131"/>
      <c r="AC444" s="131"/>
      <c r="AD444" s="132"/>
      <c r="AE444" s="5"/>
      <c r="AF444" s="128"/>
      <c r="AG444" s="5"/>
      <c r="AH444" s="128"/>
      <c r="AI444" s="59"/>
      <c r="AM444" s="59"/>
      <c r="AN444" s="37"/>
    </row>
    <row r="445" spans="1:40" x14ac:dyDescent="0.2">
      <c r="A445" s="11"/>
      <c r="B445" s="11"/>
      <c r="C445" s="5"/>
      <c r="D445" s="29"/>
      <c r="E445" s="5"/>
      <c r="F445" s="5"/>
      <c r="G445" s="156" t="s">
        <v>263</v>
      </c>
      <c r="H445" s="156"/>
      <c r="I445" s="37"/>
      <c r="J445" s="130"/>
      <c r="K445" s="131"/>
      <c r="L445" s="131"/>
      <c r="M445" s="132"/>
      <c r="N445" s="5"/>
      <c r="O445" s="130"/>
      <c r="P445" s="131"/>
      <c r="Q445" s="131"/>
      <c r="R445" s="132"/>
      <c r="S445" s="5"/>
      <c r="T445" s="128"/>
      <c r="U445" s="5"/>
      <c r="V445" s="130"/>
      <c r="W445" s="131"/>
      <c r="X445" s="131"/>
      <c r="Y445" s="132"/>
      <c r="Z445" s="5"/>
      <c r="AA445" s="130"/>
      <c r="AB445" s="131"/>
      <c r="AC445" s="131"/>
      <c r="AD445" s="132"/>
      <c r="AE445" s="5"/>
      <c r="AF445" s="128"/>
      <c r="AG445" s="5"/>
      <c r="AH445" s="128"/>
      <c r="AI445" s="59"/>
      <c r="AJ445" s="5"/>
      <c r="AL445" s="5"/>
      <c r="AM445" s="59"/>
      <c r="AN445" s="37"/>
    </row>
    <row r="446" spans="1:40" x14ac:dyDescent="0.2">
      <c r="A446" s="11"/>
      <c r="B446" s="11"/>
      <c r="C446" s="5"/>
      <c r="D446" s="29"/>
      <c r="E446" s="5"/>
      <c r="F446" s="5"/>
      <c r="G446" s="156" t="s">
        <v>263</v>
      </c>
      <c r="H446" s="156"/>
      <c r="I446" s="37"/>
      <c r="J446" s="130"/>
      <c r="K446" s="131"/>
      <c r="L446" s="131"/>
      <c r="M446" s="132"/>
      <c r="N446" s="5"/>
      <c r="O446" s="130"/>
      <c r="P446" s="131"/>
      <c r="Q446" s="131"/>
      <c r="R446" s="132"/>
      <c r="S446" s="5"/>
      <c r="T446" s="128"/>
      <c r="U446" s="5"/>
      <c r="V446" s="130"/>
      <c r="W446" s="131"/>
      <c r="X446" s="131"/>
      <c r="Y446" s="132"/>
      <c r="Z446" s="5"/>
      <c r="AA446" s="162"/>
      <c r="AB446" s="131"/>
      <c r="AC446" s="131"/>
      <c r="AD446" s="132"/>
      <c r="AE446" s="5"/>
      <c r="AF446" s="128"/>
      <c r="AG446" s="5"/>
      <c r="AH446" s="128"/>
      <c r="AI446" s="59"/>
      <c r="AJ446" s="5"/>
      <c r="AL446" s="5"/>
      <c r="AM446" s="59"/>
      <c r="AN446" s="37"/>
    </row>
    <row r="447" spans="1:40" x14ac:dyDescent="0.2">
      <c r="A447" s="11"/>
      <c r="B447" s="11"/>
      <c r="C447" s="5"/>
      <c r="D447" s="29"/>
      <c r="E447" s="5"/>
      <c r="F447" s="5"/>
      <c r="G447" s="46"/>
      <c r="H447" s="47"/>
      <c r="I447" s="47"/>
      <c r="J447" s="163"/>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14"/>
      <c r="AH447" s="14"/>
      <c r="AI447" s="14"/>
      <c r="AJ447" s="11"/>
      <c r="AL447" s="5"/>
      <c r="AM447" s="59"/>
      <c r="AN447" s="37"/>
    </row>
    <row r="448" spans="1:40" x14ac:dyDescent="0.2">
      <c r="A448" s="11"/>
      <c r="B448" s="11"/>
      <c r="C448" s="5"/>
      <c r="D448" s="29"/>
      <c r="E448" s="5"/>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L448" s="5"/>
      <c r="AM448" s="59"/>
      <c r="AN448" s="37"/>
    </row>
    <row r="449" spans="1:40" x14ac:dyDescent="0.2">
      <c r="A449" s="11"/>
      <c r="B449" s="11"/>
      <c r="C449" s="5"/>
      <c r="D449" s="29"/>
      <c r="E449" s="29"/>
      <c r="F449" s="5"/>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L449" s="5"/>
      <c r="AM449" s="59"/>
      <c r="AN449" s="37"/>
    </row>
    <row r="450" spans="1:40" x14ac:dyDescent="0.2">
      <c r="A450" s="11"/>
      <c r="B450" s="11"/>
      <c r="C450" s="5"/>
      <c r="D450" s="29"/>
      <c r="E450" s="29"/>
      <c r="F450" s="5"/>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L450" s="5"/>
      <c r="AM450" s="59"/>
      <c r="AN450" s="37"/>
    </row>
    <row r="451" spans="1:40" x14ac:dyDescent="0.2">
      <c r="A451" s="11"/>
      <c r="B451" s="11"/>
      <c r="C451" s="5"/>
      <c r="D451" s="29"/>
      <c r="E451" s="29"/>
      <c r="F451" s="5"/>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L451" s="5"/>
      <c r="AM451" s="59"/>
      <c r="AN451" s="37"/>
    </row>
    <row r="452" spans="1:40" x14ac:dyDescent="0.2">
      <c r="A452" s="11"/>
      <c r="B452" s="24"/>
      <c r="C452" s="47"/>
      <c r="D452" s="47"/>
      <c r="E452" s="164"/>
      <c r="F452" s="47"/>
      <c r="G452" s="47"/>
      <c r="H452" s="47"/>
      <c r="I452" s="47"/>
      <c r="J452" s="47"/>
      <c r="K452" s="47"/>
      <c r="L452" s="47"/>
      <c r="M452" s="47"/>
      <c r="N452" s="47"/>
      <c r="O452" s="47"/>
      <c r="P452" s="47"/>
      <c r="Q452" s="47"/>
      <c r="R452" s="47"/>
      <c r="S452" s="47"/>
      <c r="T452" s="47"/>
      <c r="U452" s="47"/>
      <c r="V452" s="47"/>
      <c r="W452" s="47"/>
      <c r="X452" s="47"/>
      <c r="Y452" s="47"/>
      <c r="Z452" s="47"/>
      <c r="AA452" s="47"/>
      <c r="AB452" s="14"/>
      <c r="AC452" s="14"/>
      <c r="AD452" s="14"/>
      <c r="AE452" s="15"/>
      <c r="AF452" s="14"/>
      <c r="AG452" s="14"/>
      <c r="AH452" s="14"/>
      <c r="AI452" s="14"/>
      <c r="AJ452" s="14"/>
      <c r="AK452" s="14"/>
      <c r="AL452" s="14"/>
      <c r="AM452" s="90"/>
      <c r="AN452" s="37"/>
    </row>
    <row r="453" spans="1:40" x14ac:dyDescent="0.2">
      <c r="A453" s="5"/>
      <c r="B453" s="5"/>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5"/>
      <c r="AE453" s="5"/>
      <c r="AF453" s="5"/>
      <c r="AI453" s="165"/>
      <c r="AJ453" s="165"/>
      <c r="AK453" s="165"/>
      <c r="AL453" s="165"/>
      <c r="AM453" s="166"/>
    </row>
    <row r="454" spans="1:40" x14ac:dyDescent="0.2">
      <c r="A454" s="11"/>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9"/>
    </row>
    <row r="455" spans="1:40" x14ac:dyDescent="0.2">
      <c r="A455" s="11"/>
      <c r="B455" s="11"/>
      <c r="C455" s="122" t="s">
        <v>292</v>
      </c>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23"/>
    </row>
    <row r="456" spans="1:40" x14ac:dyDescent="0.2">
      <c r="A456" s="11"/>
      <c r="B456" s="11"/>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23"/>
    </row>
    <row r="457" spans="1:40" x14ac:dyDescent="0.2">
      <c r="A457" s="11"/>
      <c r="B457" s="11"/>
      <c r="C457" s="134" t="s">
        <v>293</v>
      </c>
      <c r="D457" s="61"/>
      <c r="E457" s="5"/>
      <c r="F457" s="61"/>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23"/>
    </row>
    <row r="458" spans="1:40" x14ac:dyDescent="0.2">
      <c r="A458" s="11"/>
      <c r="B458" s="36"/>
      <c r="C458" s="39" t="s">
        <v>25</v>
      </c>
      <c r="D458" s="27"/>
      <c r="E458" s="39" t="str">
        <f>IF(D458&lt;&gt;"","Please check the ‘+’ icon to the left and provide the necessary information","")</f>
        <v/>
      </c>
      <c r="F458" s="39"/>
      <c r="G458" s="39"/>
      <c r="H458" s="39"/>
      <c r="I458" s="37"/>
      <c r="J458" s="37"/>
      <c r="K458" s="5"/>
      <c r="L458" s="13"/>
      <c r="M458" s="37"/>
      <c r="N458" s="37"/>
      <c r="O458" s="37"/>
      <c r="P458" s="37"/>
      <c r="Q458" s="37"/>
      <c r="R458" s="37"/>
      <c r="S458" s="37"/>
      <c r="T458" s="37"/>
      <c r="U458" s="37"/>
      <c r="V458" s="48"/>
      <c r="W458" s="37"/>
      <c r="X458" s="37"/>
      <c r="Y458" s="37"/>
      <c r="Z458" s="37"/>
      <c r="AA458" s="37"/>
      <c r="AB458" s="37"/>
      <c r="AC458" s="37"/>
      <c r="AD458" s="37"/>
      <c r="AE458" s="5"/>
      <c r="AF458" s="5"/>
      <c r="AG458" s="5"/>
      <c r="AH458" s="5"/>
      <c r="AI458" s="5"/>
      <c r="AJ458" s="5"/>
      <c r="AK458" s="5"/>
      <c r="AL458" s="5"/>
      <c r="AM458" s="23"/>
    </row>
    <row r="459" spans="1:40" x14ac:dyDescent="0.2">
      <c r="A459" s="11"/>
      <c r="B459" s="36"/>
      <c r="C459" s="39" t="s">
        <v>27</v>
      </c>
      <c r="D459" s="28" t="s">
        <v>9</v>
      </c>
      <c r="E459" s="41"/>
      <c r="F459" s="49"/>
      <c r="G459" s="49"/>
      <c r="H459" s="49"/>
      <c r="I459" s="37"/>
      <c r="J459" s="37"/>
      <c r="K459" s="5"/>
      <c r="L459" s="13"/>
      <c r="M459" s="37"/>
      <c r="N459" s="37"/>
      <c r="O459" s="37"/>
      <c r="P459" s="37"/>
      <c r="Q459" s="37"/>
      <c r="R459" s="37"/>
      <c r="S459" s="37"/>
      <c r="T459" s="37"/>
      <c r="U459" s="37"/>
      <c r="V459" s="37"/>
      <c r="W459" s="37"/>
      <c r="X459" s="37"/>
      <c r="Y459" s="37"/>
      <c r="Z459" s="37"/>
      <c r="AA459" s="37"/>
      <c r="AB459" s="37"/>
      <c r="AC459" s="37"/>
      <c r="AD459" s="37"/>
      <c r="AE459" s="5"/>
      <c r="AF459" s="5"/>
      <c r="AG459" s="5"/>
      <c r="AH459" s="5"/>
      <c r="AI459" s="5"/>
      <c r="AJ459" s="5"/>
      <c r="AK459" s="5"/>
      <c r="AL459" s="5"/>
      <c r="AM459" s="23"/>
    </row>
    <row r="460" spans="1:40" x14ac:dyDescent="0.2">
      <c r="A460" s="11"/>
      <c r="B460" s="11"/>
      <c r="C460" s="61"/>
      <c r="D460" s="61"/>
      <c r="E460" s="5"/>
      <c r="F460" s="61"/>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23"/>
    </row>
    <row r="461" spans="1:40" x14ac:dyDescent="0.2">
      <c r="A461" s="11"/>
      <c r="B461" s="11"/>
      <c r="C461" s="27"/>
      <c r="D461" s="61" t="s">
        <v>294</v>
      </c>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23"/>
    </row>
    <row r="462" spans="1:40" x14ac:dyDescent="0.2">
      <c r="A462" s="11"/>
      <c r="B462" s="11"/>
      <c r="C462" s="31"/>
      <c r="D462" s="29" t="s">
        <v>15</v>
      </c>
      <c r="E462" s="5" t="s">
        <v>295</v>
      </c>
      <c r="F462" s="5"/>
      <c r="G462" s="5"/>
      <c r="H462" s="5"/>
      <c r="I462" s="5"/>
      <c r="J462" s="5"/>
      <c r="K462" s="5"/>
      <c r="L462" s="5"/>
      <c r="M462" s="130"/>
      <c r="N462" s="131"/>
      <c r="O462" s="131"/>
      <c r="P462" s="132"/>
      <c r="Q462" s="5"/>
      <c r="R462" s="5"/>
      <c r="S462" s="5"/>
      <c r="T462" s="5"/>
      <c r="U462" s="5"/>
      <c r="V462" s="5"/>
      <c r="W462" s="5"/>
      <c r="X462" s="5"/>
      <c r="Y462" s="5"/>
      <c r="Z462" s="5"/>
      <c r="AA462" s="5"/>
      <c r="AB462" s="5"/>
      <c r="AC462" s="5"/>
      <c r="AD462" s="5"/>
      <c r="AE462" s="5"/>
      <c r="AF462" s="5"/>
      <c r="AG462" s="5"/>
      <c r="AH462" s="5"/>
      <c r="AI462" s="5"/>
      <c r="AJ462" s="5"/>
      <c r="AK462" s="5"/>
      <c r="AL462" s="5"/>
      <c r="AM462" s="23"/>
    </row>
    <row r="463" spans="1:40" x14ac:dyDescent="0.2">
      <c r="A463" s="11"/>
      <c r="B463" s="11"/>
      <c r="C463" s="27"/>
      <c r="D463" s="61" t="s">
        <v>296</v>
      </c>
      <c r="E463" s="5"/>
      <c r="F463" s="5"/>
      <c r="G463" s="5"/>
      <c r="H463" s="5"/>
      <c r="I463" s="5"/>
      <c r="J463" s="5"/>
      <c r="K463" s="5"/>
      <c r="L463" s="5"/>
      <c r="M463" s="5"/>
      <c r="N463" s="5"/>
      <c r="O463" s="5"/>
      <c r="P463" s="5"/>
      <c r="Q463" s="5"/>
      <c r="R463" s="5"/>
      <c r="S463" s="5"/>
      <c r="U463" s="5"/>
      <c r="V463" s="5"/>
      <c r="W463" s="5"/>
      <c r="X463" s="5"/>
      <c r="Y463" s="5"/>
      <c r="Z463" s="5"/>
      <c r="AA463" s="5"/>
      <c r="AB463" s="5"/>
      <c r="AC463" s="5"/>
      <c r="AD463" s="5"/>
      <c r="AE463" s="5"/>
      <c r="AF463" s="5"/>
      <c r="AG463" s="5"/>
      <c r="AH463" s="5"/>
      <c r="AI463" s="5"/>
      <c r="AJ463" s="5"/>
      <c r="AK463" s="5"/>
      <c r="AL463" s="5"/>
      <c r="AM463" s="23"/>
    </row>
    <row r="464" spans="1:40" x14ac:dyDescent="0.2">
      <c r="A464" s="11"/>
      <c r="B464" s="11"/>
      <c r="C464" s="5"/>
      <c r="D464" s="29" t="s">
        <v>15</v>
      </c>
      <c r="E464" s="61" t="s">
        <v>297</v>
      </c>
      <c r="F464" s="5"/>
      <c r="G464" s="5"/>
      <c r="H464" s="5"/>
      <c r="I464" s="5"/>
      <c r="J464" s="5"/>
      <c r="K464" s="5"/>
      <c r="L464" s="5"/>
      <c r="M464" s="130"/>
      <c r="N464" s="131"/>
      <c r="O464" s="131"/>
      <c r="P464" s="132"/>
      <c r="Q464" s="5"/>
      <c r="R464" s="5"/>
      <c r="S464" s="5"/>
      <c r="U464" s="5"/>
      <c r="V464" s="5"/>
      <c r="W464" s="5"/>
      <c r="X464" s="5"/>
      <c r="Y464" s="5"/>
      <c r="Z464" s="5"/>
      <c r="AA464" s="5"/>
      <c r="AB464" s="5"/>
      <c r="AC464" s="5"/>
      <c r="AD464" s="5"/>
      <c r="AE464" s="5"/>
      <c r="AF464" s="5"/>
      <c r="AG464" s="5"/>
      <c r="AH464" s="5"/>
      <c r="AI464" s="5"/>
      <c r="AJ464" s="5"/>
      <c r="AK464" s="5"/>
      <c r="AL464" s="5"/>
      <c r="AM464" s="23"/>
    </row>
    <row r="465" spans="1:39" x14ac:dyDescent="0.2">
      <c r="A465" s="11"/>
      <c r="B465" s="11"/>
      <c r="C465" s="5"/>
      <c r="D465" s="29" t="s">
        <v>15</v>
      </c>
      <c r="E465" s="61" t="s">
        <v>298</v>
      </c>
      <c r="F465" s="5"/>
      <c r="G465" s="5"/>
      <c r="H465" s="5"/>
      <c r="I465" s="5"/>
      <c r="J465" s="5"/>
      <c r="K465" s="5"/>
      <c r="L465" s="5"/>
      <c r="M465" s="162"/>
      <c r="N465" s="167"/>
      <c r="O465" s="167"/>
      <c r="P465" s="168"/>
      <c r="Q465" s="5"/>
      <c r="R465" s="5"/>
      <c r="S465" s="5"/>
      <c r="U465" s="5"/>
      <c r="V465" s="5"/>
      <c r="W465" s="5"/>
      <c r="X465" s="5"/>
      <c r="Y465" s="5"/>
      <c r="Z465" s="5"/>
      <c r="AA465" s="5"/>
      <c r="AB465" s="5"/>
      <c r="AC465" s="5"/>
      <c r="AD465" s="5"/>
      <c r="AE465" s="5"/>
      <c r="AF465" s="5"/>
      <c r="AG465" s="5"/>
      <c r="AH465" s="5"/>
      <c r="AI465" s="5"/>
      <c r="AJ465" s="5"/>
      <c r="AK465" s="5"/>
      <c r="AL465" s="5"/>
      <c r="AM465" s="23"/>
    </row>
    <row r="466" spans="1:39" x14ac:dyDescent="0.2">
      <c r="A466" s="11"/>
      <c r="B466" s="11"/>
      <c r="C466" s="5"/>
      <c r="D466" s="29" t="s">
        <v>15</v>
      </c>
      <c r="E466" s="61" t="s">
        <v>299</v>
      </c>
      <c r="F466" s="5"/>
      <c r="G466" s="5"/>
      <c r="H466" s="5"/>
      <c r="I466" s="5"/>
      <c r="J466" s="5"/>
      <c r="K466" s="5"/>
      <c r="L466" s="5"/>
      <c r="M466" s="169"/>
      <c r="N466" s="169"/>
      <c r="O466" s="169"/>
      <c r="P466" s="169"/>
      <c r="Q466" s="169"/>
      <c r="R466" s="169"/>
      <c r="S466" s="169"/>
      <c r="U466" s="5"/>
      <c r="V466" s="5"/>
      <c r="W466" s="5"/>
      <c r="X466" s="5"/>
      <c r="Y466" s="5"/>
      <c r="Z466" s="5"/>
      <c r="AA466" s="5"/>
      <c r="AB466" s="5"/>
      <c r="AC466" s="5"/>
      <c r="AD466" s="5"/>
      <c r="AE466" s="5"/>
      <c r="AF466" s="5"/>
      <c r="AG466" s="5"/>
      <c r="AH466" s="5"/>
      <c r="AI466" s="5"/>
      <c r="AJ466" s="5"/>
      <c r="AK466" s="5"/>
      <c r="AL466" s="5"/>
      <c r="AM466" s="23"/>
    </row>
    <row r="467" spans="1:39" x14ac:dyDescent="0.2">
      <c r="A467" s="11"/>
      <c r="B467" s="11"/>
      <c r="C467" s="5"/>
      <c r="D467" s="29"/>
      <c r="E467" s="61"/>
      <c r="F467" s="5"/>
      <c r="G467" s="5"/>
      <c r="H467" s="5"/>
      <c r="I467" s="5"/>
      <c r="J467" s="5"/>
      <c r="K467" s="5"/>
      <c r="L467" s="5"/>
      <c r="M467" s="170"/>
      <c r="N467" s="170"/>
      <c r="O467" s="170"/>
      <c r="P467" s="170"/>
      <c r="Q467" s="170"/>
      <c r="R467" s="170"/>
      <c r="S467" s="170"/>
      <c r="U467" s="5"/>
      <c r="V467" s="5"/>
      <c r="W467" s="5"/>
      <c r="X467" s="5"/>
      <c r="Y467" s="5"/>
      <c r="Z467" s="5"/>
      <c r="AA467" s="5"/>
      <c r="AB467" s="5"/>
      <c r="AC467" s="5"/>
      <c r="AD467" s="5"/>
      <c r="AE467" s="5"/>
      <c r="AF467" s="5"/>
      <c r="AG467" s="5"/>
      <c r="AH467" s="5"/>
      <c r="AI467" s="5"/>
      <c r="AJ467" s="5"/>
      <c r="AK467" s="5"/>
      <c r="AL467" s="5"/>
      <c r="AM467" s="23"/>
    </row>
    <row r="468" spans="1:39" x14ac:dyDescent="0.2">
      <c r="A468" s="11"/>
      <c r="B468" s="11"/>
      <c r="C468" s="5"/>
      <c r="D468" s="29"/>
      <c r="E468" s="61"/>
      <c r="F468" s="5"/>
      <c r="G468" s="5"/>
      <c r="H468" s="5"/>
      <c r="I468" s="5"/>
      <c r="J468" s="5"/>
      <c r="K468" s="5"/>
      <c r="L468" s="5"/>
      <c r="M468" s="170"/>
      <c r="N468" s="170"/>
      <c r="O468" s="170"/>
      <c r="P468" s="170"/>
      <c r="Q468" s="170"/>
      <c r="R468" s="170"/>
      <c r="S468" s="170"/>
      <c r="U468" s="5"/>
      <c r="V468" s="5"/>
      <c r="W468" s="5"/>
      <c r="X468" s="5"/>
      <c r="Y468" s="5"/>
      <c r="Z468" s="5"/>
      <c r="AA468" s="5"/>
      <c r="AB468" s="5"/>
      <c r="AC468" s="5"/>
      <c r="AD468" s="5"/>
      <c r="AE468" s="5"/>
      <c r="AF468" s="5"/>
      <c r="AG468" s="5"/>
      <c r="AH468" s="5"/>
      <c r="AI468" s="5"/>
      <c r="AJ468" s="5"/>
      <c r="AK468" s="5"/>
      <c r="AL468" s="5"/>
      <c r="AM468" s="23"/>
    </row>
    <row r="469" spans="1:39" x14ac:dyDescent="0.2">
      <c r="A469" s="11"/>
      <c r="B469" s="11"/>
      <c r="C469" s="5"/>
      <c r="D469" s="5"/>
      <c r="E469" s="27"/>
      <c r="F469" s="5" t="s">
        <v>300</v>
      </c>
      <c r="G469" s="61"/>
      <c r="H469" s="5"/>
      <c r="I469" s="5"/>
      <c r="J469" s="5"/>
      <c r="K469" s="5"/>
      <c r="L469" s="5"/>
      <c r="M469" s="5"/>
      <c r="N469" s="5"/>
      <c r="O469" s="5"/>
      <c r="P469" s="5"/>
      <c r="Q469" s="5"/>
      <c r="R469" s="5"/>
      <c r="S469" s="5"/>
      <c r="U469" s="5"/>
      <c r="V469" s="5"/>
      <c r="W469" s="5"/>
      <c r="X469" s="5"/>
      <c r="Y469" s="5"/>
      <c r="Z469" s="5"/>
      <c r="AA469" s="5"/>
      <c r="AB469" s="5"/>
      <c r="AC469" s="5"/>
      <c r="AD469" s="5"/>
      <c r="AE469" s="5"/>
      <c r="AF469" s="5"/>
      <c r="AG469" s="5"/>
      <c r="AH469" s="5"/>
      <c r="AI469" s="5"/>
      <c r="AJ469" s="5"/>
      <c r="AK469" s="5"/>
      <c r="AL469" s="5"/>
      <c r="AM469" s="23"/>
    </row>
    <row r="470" spans="1:39" x14ac:dyDescent="0.2">
      <c r="A470" s="11"/>
      <c r="B470" s="11"/>
      <c r="C470" s="5"/>
      <c r="D470" s="5"/>
      <c r="E470" s="5"/>
      <c r="F470" s="5"/>
      <c r="G470" s="61" t="s">
        <v>301</v>
      </c>
      <c r="H470" s="5"/>
      <c r="I470" s="5"/>
      <c r="J470" s="5"/>
      <c r="K470" s="130"/>
      <c r="L470" s="131"/>
      <c r="M470" s="131"/>
      <c r="N470" s="132"/>
      <c r="O470" s="5"/>
      <c r="P470" s="5"/>
      <c r="Q470" s="5"/>
      <c r="R470" s="5"/>
      <c r="S470" s="5"/>
      <c r="U470" s="5"/>
      <c r="V470" s="5"/>
      <c r="W470" s="5"/>
      <c r="X470" s="5"/>
      <c r="Y470" s="5"/>
      <c r="Z470" s="5"/>
      <c r="AA470" s="5"/>
      <c r="AB470" s="5"/>
      <c r="AC470" s="5"/>
      <c r="AD470" s="5"/>
      <c r="AE470" s="5"/>
      <c r="AF470" s="5"/>
      <c r="AG470" s="5"/>
      <c r="AH470" s="5"/>
      <c r="AI470" s="5"/>
      <c r="AJ470" s="5"/>
      <c r="AK470" s="5"/>
      <c r="AL470" s="5"/>
      <c r="AM470" s="23"/>
    </row>
    <row r="471" spans="1:39" x14ac:dyDescent="0.2">
      <c r="A471" s="11"/>
      <c r="B471" s="11"/>
      <c r="C471" s="5"/>
      <c r="D471" s="5"/>
      <c r="E471" s="5"/>
      <c r="F471" s="5"/>
      <c r="G471" s="61" t="s">
        <v>302</v>
      </c>
      <c r="H471" s="5"/>
      <c r="I471" s="5"/>
      <c r="J471" s="5"/>
      <c r="K471" s="162"/>
      <c r="L471" s="167"/>
      <c r="M471" s="167"/>
      <c r="N471" s="168"/>
      <c r="O471" s="5"/>
      <c r="P471" s="5"/>
      <c r="Q471" s="5"/>
      <c r="R471" s="5"/>
      <c r="S471" s="5"/>
      <c r="U471" s="5"/>
      <c r="V471" s="5"/>
      <c r="W471" s="5"/>
      <c r="X471" s="5"/>
      <c r="Y471" s="5"/>
      <c r="Z471" s="5"/>
      <c r="AA471" s="5"/>
      <c r="AB471" s="5"/>
      <c r="AC471" s="5"/>
      <c r="AD471" s="5"/>
      <c r="AE471" s="5"/>
      <c r="AF471" s="5"/>
      <c r="AG471" s="5"/>
      <c r="AH471" s="5"/>
      <c r="AI471" s="5"/>
      <c r="AJ471" s="5"/>
      <c r="AK471" s="5"/>
      <c r="AL471" s="5"/>
      <c r="AM471" s="23"/>
    </row>
    <row r="472" spans="1:39" x14ac:dyDescent="0.2">
      <c r="A472" s="11"/>
      <c r="B472" s="11"/>
      <c r="C472" s="5"/>
      <c r="D472" s="5"/>
      <c r="E472" s="61"/>
      <c r="F472" s="5"/>
      <c r="G472" s="5"/>
      <c r="H472" s="5"/>
      <c r="I472" s="5"/>
      <c r="J472" s="5"/>
      <c r="K472" s="5"/>
      <c r="L472" s="5"/>
      <c r="M472" s="5"/>
      <c r="N472" s="5"/>
      <c r="O472" s="5"/>
      <c r="P472" s="5"/>
      <c r="Q472" s="5"/>
      <c r="R472" s="5"/>
      <c r="S472" s="5"/>
      <c r="U472" s="5"/>
      <c r="V472" s="5"/>
      <c r="W472" s="5"/>
      <c r="X472" s="5"/>
      <c r="Y472" s="5"/>
      <c r="Z472" s="5"/>
      <c r="AA472" s="5"/>
      <c r="AB472" s="5"/>
      <c r="AC472" s="5"/>
      <c r="AD472" s="5"/>
      <c r="AE472" s="5"/>
      <c r="AF472" s="5"/>
      <c r="AG472" s="5"/>
      <c r="AH472" s="5"/>
      <c r="AI472" s="5"/>
      <c r="AJ472" s="5"/>
      <c r="AK472" s="5"/>
      <c r="AL472" s="5"/>
      <c r="AM472" s="23"/>
    </row>
    <row r="473" spans="1:39" x14ac:dyDescent="0.2">
      <c r="A473" s="11"/>
      <c r="B473" s="11"/>
      <c r="C473" s="5"/>
      <c r="D473" s="5"/>
      <c r="E473" s="27"/>
      <c r="F473" s="5" t="s">
        <v>303</v>
      </c>
      <c r="G473" s="61"/>
      <c r="H473" s="5"/>
      <c r="I473" s="5"/>
      <c r="J473" s="5"/>
      <c r="K473" s="5"/>
      <c r="L473" s="5"/>
      <c r="M473" s="5"/>
      <c r="N473" s="5"/>
      <c r="O473" s="5"/>
      <c r="P473" s="5"/>
      <c r="Q473" s="5"/>
      <c r="R473" s="5"/>
      <c r="S473" s="5"/>
      <c r="U473" s="5"/>
      <c r="V473" s="5"/>
      <c r="W473" s="5"/>
      <c r="X473" s="5"/>
      <c r="Y473" s="5"/>
      <c r="Z473" s="5"/>
      <c r="AA473" s="5"/>
      <c r="AB473" s="5"/>
      <c r="AC473" s="5"/>
      <c r="AD473" s="5"/>
      <c r="AE473" s="5"/>
      <c r="AF473" s="5"/>
      <c r="AG473" s="5"/>
      <c r="AH473" s="5"/>
      <c r="AI473" s="5"/>
      <c r="AJ473" s="5"/>
      <c r="AK473" s="5"/>
      <c r="AL473" s="5"/>
      <c r="AM473" s="23"/>
    </row>
    <row r="474" spans="1:39" x14ac:dyDescent="0.2">
      <c r="A474" s="11"/>
      <c r="B474" s="11"/>
      <c r="C474" s="5"/>
      <c r="D474" s="5"/>
      <c r="E474" s="5"/>
      <c r="F474" s="5"/>
      <c r="G474" s="61" t="s">
        <v>304</v>
      </c>
      <c r="H474" s="5"/>
      <c r="I474" s="5"/>
      <c r="J474" s="5"/>
      <c r="K474" s="130"/>
      <c r="L474" s="131"/>
      <c r="M474" s="131"/>
      <c r="N474" s="132"/>
      <c r="O474" s="5"/>
      <c r="P474" s="5"/>
      <c r="Q474" s="5"/>
      <c r="R474" s="5"/>
      <c r="S474" s="5"/>
      <c r="U474" s="5"/>
      <c r="V474" s="5"/>
      <c r="W474" s="5"/>
      <c r="X474" s="5"/>
      <c r="Y474" s="5"/>
      <c r="Z474" s="5"/>
      <c r="AA474" s="5"/>
      <c r="AB474" s="5"/>
      <c r="AC474" s="5"/>
      <c r="AD474" s="5"/>
      <c r="AE474" s="5"/>
      <c r="AF474" s="5"/>
      <c r="AG474" s="5"/>
      <c r="AH474" s="5"/>
      <c r="AI474" s="5"/>
      <c r="AJ474" s="5"/>
      <c r="AK474" s="5"/>
      <c r="AL474" s="5"/>
      <c r="AM474" s="23"/>
    </row>
    <row r="475" spans="1:39" x14ac:dyDescent="0.2">
      <c r="A475" s="11"/>
      <c r="B475" s="11"/>
      <c r="C475" s="5"/>
      <c r="D475" s="5"/>
      <c r="E475" s="5"/>
      <c r="F475" s="5"/>
      <c r="G475" s="61" t="s">
        <v>305</v>
      </c>
      <c r="H475" s="5"/>
      <c r="I475" s="5"/>
      <c r="J475" s="5"/>
      <c r="K475" s="162"/>
      <c r="L475" s="167"/>
      <c r="M475" s="167"/>
      <c r="N475" s="168"/>
      <c r="O475" s="5"/>
      <c r="P475" s="5"/>
      <c r="Q475" s="5"/>
      <c r="R475" s="5"/>
      <c r="S475" s="5"/>
      <c r="U475" s="5"/>
      <c r="V475" s="5"/>
      <c r="W475" s="5"/>
      <c r="X475" s="5"/>
      <c r="Y475" s="5"/>
      <c r="Z475" s="5"/>
      <c r="AA475" s="5"/>
      <c r="AB475" s="5"/>
      <c r="AC475" s="5"/>
      <c r="AD475" s="5"/>
      <c r="AE475" s="5"/>
      <c r="AF475" s="5"/>
      <c r="AG475" s="5"/>
      <c r="AH475" s="5"/>
      <c r="AI475" s="5"/>
      <c r="AJ475" s="5"/>
      <c r="AK475" s="5"/>
      <c r="AL475" s="5"/>
      <c r="AM475" s="23"/>
    </row>
    <row r="476" spans="1:39" x14ac:dyDescent="0.2">
      <c r="A476" s="11"/>
      <c r="B476" s="11"/>
      <c r="C476" s="5"/>
      <c r="D476" s="5"/>
      <c r="E476" s="5"/>
      <c r="F476" s="5"/>
      <c r="G476" s="61" t="s">
        <v>306</v>
      </c>
      <c r="H476" s="5"/>
      <c r="I476" s="5"/>
      <c r="J476" s="5"/>
      <c r="K476" s="169"/>
      <c r="L476" s="169"/>
      <c r="M476" s="169"/>
      <c r="N476" s="169"/>
      <c r="O476" s="169"/>
      <c r="P476" s="169"/>
      <c r="Q476" s="169"/>
      <c r="R476" s="5"/>
      <c r="S476" s="5"/>
      <c r="U476" s="5"/>
      <c r="V476" s="5"/>
      <c r="W476" s="5"/>
      <c r="X476" s="5"/>
      <c r="Y476" s="5"/>
      <c r="Z476" s="5"/>
      <c r="AA476" s="5"/>
      <c r="AB476" s="5"/>
      <c r="AC476" s="5"/>
      <c r="AD476" s="5"/>
      <c r="AE476" s="5"/>
      <c r="AF476" s="5"/>
      <c r="AG476" s="5"/>
      <c r="AH476" s="5"/>
      <c r="AI476" s="5"/>
      <c r="AJ476" s="5"/>
      <c r="AK476" s="5"/>
      <c r="AL476" s="5"/>
      <c r="AM476" s="23"/>
    </row>
    <row r="477" spans="1:39" x14ac:dyDescent="0.2">
      <c r="A477" s="11"/>
      <c r="B477" s="11"/>
      <c r="C477" s="5"/>
      <c r="D477" s="5"/>
      <c r="E477" s="5"/>
      <c r="F477" s="5"/>
      <c r="G477" s="5"/>
      <c r="H477" s="61"/>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23"/>
    </row>
    <row r="478" spans="1:39" x14ac:dyDescent="0.2">
      <c r="A478" s="11"/>
      <c r="B478" s="11"/>
      <c r="C478" s="171"/>
      <c r="D478" s="61" t="s">
        <v>307</v>
      </c>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23"/>
    </row>
    <row r="479" spans="1:39" x14ac:dyDescent="0.2">
      <c r="A479" s="11"/>
      <c r="B479" s="11"/>
      <c r="C479" s="172"/>
      <c r="D479" s="29" t="s">
        <v>15</v>
      </c>
      <c r="E479" s="5" t="s">
        <v>308</v>
      </c>
      <c r="F479" s="5"/>
      <c r="G479" s="5"/>
      <c r="H479" s="5"/>
      <c r="I479" s="5"/>
      <c r="J479" s="5"/>
      <c r="K479" s="5"/>
      <c r="L479" s="5"/>
      <c r="M479" s="5"/>
      <c r="N479" s="127"/>
      <c r="O479" s="127"/>
      <c r="P479" s="127"/>
      <c r="Q479" s="127"/>
      <c r="R479" s="127"/>
      <c r="S479" s="127"/>
      <c r="T479" s="127"/>
      <c r="U479" s="127"/>
      <c r="V479" s="127"/>
      <c r="W479" s="5"/>
      <c r="X479" s="5"/>
      <c r="Y479" s="5"/>
      <c r="Z479" s="5"/>
      <c r="AA479" s="5"/>
      <c r="AB479" s="5"/>
      <c r="AC479" s="5"/>
      <c r="AD479" s="5"/>
      <c r="AE479" s="5"/>
      <c r="AF479" s="5"/>
      <c r="AG479" s="5"/>
      <c r="AH479" s="5"/>
      <c r="AI479" s="5"/>
      <c r="AJ479" s="5"/>
      <c r="AK479" s="5"/>
      <c r="AL479" s="5"/>
      <c r="AM479" s="23"/>
    </row>
    <row r="480" spans="1:39" x14ac:dyDescent="0.2">
      <c r="A480" s="11"/>
      <c r="B480" s="11"/>
      <c r="C480" s="171"/>
      <c r="D480" s="61" t="s">
        <v>296</v>
      </c>
      <c r="E480" s="5"/>
      <c r="F480" s="5"/>
      <c r="G480" s="5"/>
      <c r="H480" s="5"/>
      <c r="I480" s="5"/>
      <c r="J480" s="5"/>
      <c r="K480" s="5"/>
      <c r="L480" s="5"/>
      <c r="M480" s="5"/>
      <c r="N480" s="5"/>
      <c r="O480" s="5"/>
      <c r="P480" s="5"/>
      <c r="Q480" s="5"/>
      <c r="R480" s="5"/>
      <c r="S480" s="5"/>
      <c r="T480" s="5"/>
      <c r="U480" s="5"/>
      <c r="W480" s="5"/>
      <c r="X480" s="5"/>
      <c r="Y480" s="5"/>
      <c r="Z480" s="5"/>
      <c r="AA480" s="5"/>
      <c r="AB480" s="5"/>
      <c r="AC480" s="5"/>
      <c r="AD480" s="5"/>
      <c r="AE480" s="5"/>
      <c r="AF480" s="5"/>
      <c r="AG480" s="5"/>
      <c r="AH480" s="5"/>
      <c r="AI480" s="5"/>
      <c r="AJ480" s="5"/>
      <c r="AK480" s="5"/>
      <c r="AL480" s="5"/>
      <c r="AM480" s="23"/>
    </row>
    <row r="481" spans="1:39" x14ac:dyDescent="0.2">
      <c r="A481" s="11"/>
      <c r="B481" s="11"/>
      <c r="C481" s="5"/>
      <c r="D481" s="29" t="s">
        <v>15</v>
      </c>
      <c r="E481" s="61" t="s">
        <v>309</v>
      </c>
      <c r="F481" s="5"/>
      <c r="G481" s="5"/>
      <c r="H481" s="5"/>
      <c r="I481" s="5"/>
      <c r="J481" s="5"/>
      <c r="K481" s="5"/>
      <c r="L481" s="5"/>
      <c r="M481" s="127"/>
      <c r="N481" s="127"/>
      <c r="O481" s="127"/>
      <c r="P481" s="127"/>
      <c r="Q481" s="127"/>
      <c r="R481" s="127"/>
      <c r="S481" s="127"/>
      <c r="T481" s="127"/>
      <c r="U481" s="127"/>
      <c r="W481" s="5"/>
      <c r="X481" s="5"/>
      <c r="Y481" s="5"/>
      <c r="Z481" s="5"/>
      <c r="AA481" s="5"/>
      <c r="AB481" s="5"/>
      <c r="AC481" s="5"/>
      <c r="AD481" s="5"/>
      <c r="AE481" s="5"/>
      <c r="AF481" s="5"/>
      <c r="AG481" s="5"/>
      <c r="AH481" s="5"/>
      <c r="AI481" s="5"/>
      <c r="AJ481" s="5"/>
      <c r="AK481" s="5"/>
      <c r="AL481" s="5"/>
      <c r="AM481" s="23"/>
    </row>
    <row r="482" spans="1:39" x14ac:dyDescent="0.2">
      <c r="A482" s="11"/>
      <c r="B482" s="11"/>
      <c r="C482" s="5"/>
      <c r="D482" s="29" t="s">
        <v>15</v>
      </c>
      <c r="E482" s="61" t="s">
        <v>310</v>
      </c>
      <c r="F482" s="5"/>
      <c r="G482" s="5"/>
      <c r="H482" s="5"/>
      <c r="I482" s="5"/>
      <c r="J482" s="5"/>
      <c r="K482" s="5"/>
      <c r="L482" s="5"/>
      <c r="M482" s="127"/>
      <c r="N482" s="127"/>
      <c r="O482" s="127"/>
      <c r="P482" s="127"/>
      <c r="Q482" s="127"/>
      <c r="R482" s="127"/>
      <c r="S482" s="127"/>
      <c r="T482" s="127"/>
      <c r="U482" s="127"/>
      <c r="W482" s="5"/>
      <c r="X482" s="5"/>
      <c r="Y482" s="5"/>
      <c r="Z482" s="5"/>
      <c r="AA482" s="5"/>
      <c r="AB482" s="5"/>
      <c r="AC482" s="5"/>
      <c r="AD482" s="5"/>
      <c r="AE482" s="5"/>
      <c r="AF482" s="5"/>
      <c r="AG482" s="5"/>
      <c r="AH482" s="5"/>
      <c r="AI482" s="5"/>
      <c r="AJ482" s="5"/>
      <c r="AK482" s="5"/>
      <c r="AL482" s="5"/>
      <c r="AM482" s="23"/>
    </row>
    <row r="483" spans="1:39" x14ac:dyDescent="0.2">
      <c r="A483" s="11"/>
      <c r="B483" s="11"/>
      <c r="C483" s="5"/>
      <c r="D483" s="29" t="s">
        <v>15</v>
      </c>
      <c r="E483" s="61" t="s">
        <v>311</v>
      </c>
      <c r="F483" s="5"/>
      <c r="G483" s="5"/>
      <c r="H483" s="5"/>
      <c r="I483" s="5"/>
      <c r="J483" s="5"/>
      <c r="K483" s="5"/>
      <c r="L483" s="5"/>
      <c r="M483" s="127"/>
      <c r="N483" s="127"/>
      <c r="O483" s="127"/>
      <c r="P483" s="127"/>
      <c r="Q483" s="127"/>
      <c r="R483" s="127"/>
      <c r="S483" s="127"/>
      <c r="T483" s="127"/>
      <c r="U483" s="127"/>
      <c r="W483" s="5"/>
      <c r="X483" s="5"/>
      <c r="Y483" s="5"/>
      <c r="Z483" s="5"/>
      <c r="AA483" s="5"/>
      <c r="AB483" s="5"/>
      <c r="AC483" s="5"/>
      <c r="AD483" s="5"/>
      <c r="AE483" s="5"/>
      <c r="AF483" s="5"/>
      <c r="AG483" s="5"/>
      <c r="AH483" s="5"/>
      <c r="AI483" s="5"/>
      <c r="AJ483" s="5"/>
      <c r="AK483" s="5"/>
      <c r="AL483" s="5"/>
      <c r="AM483" s="23"/>
    </row>
    <row r="484" spans="1:39" x14ac:dyDescent="0.2">
      <c r="A484" s="11"/>
      <c r="B484" s="11"/>
      <c r="C484" s="5"/>
      <c r="D484" s="29"/>
      <c r="E484" s="61"/>
      <c r="F484" s="5"/>
      <c r="G484" s="5"/>
      <c r="H484" s="5"/>
      <c r="I484" s="5"/>
      <c r="J484" s="5"/>
      <c r="K484" s="5"/>
      <c r="L484" s="5"/>
      <c r="M484" s="127"/>
      <c r="N484" s="127"/>
      <c r="O484" s="127"/>
      <c r="P484" s="127"/>
      <c r="Q484" s="127"/>
      <c r="R484" s="127"/>
      <c r="S484" s="127"/>
      <c r="T484" s="127"/>
      <c r="U484" s="127"/>
      <c r="W484" s="5"/>
      <c r="X484" s="5"/>
      <c r="Y484" s="5"/>
      <c r="Z484" s="5"/>
      <c r="AA484" s="5"/>
      <c r="AB484" s="5"/>
      <c r="AC484" s="5"/>
      <c r="AD484" s="5"/>
      <c r="AE484" s="5"/>
      <c r="AF484" s="5"/>
      <c r="AG484" s="5"/>
      <c r="AH484" s="5"/>
      <c r="AI484" s="5"/>
      <c r="AJ484" s="5"/>
      <c r="AK484" s="5"/>
      <c r="AL484" s="5"/>
      <c r="AM484" s="23"/>
    </row>
    <row r="485" spans="1:39" x14ac:dyDescent="0.2">
      <c r="A485" s="11"/>
      <c r="B485" s="11"/>
      <c r="C485" s="5"/>
      <c r="D485" s="29"/>
      <c r="E485" s="61"/>
      <c r="F485" s="5"/>
      <c r="G485" s="5"/>
      <c r="H485" s="5"/>
      <c r="I485" s="5"/>
      <c r="J485" s="5"/>
      <c r="K485" s="5"/>
      <c r="L485" s="5"/>
      <c r="M485" s="127"/>
      <c r="N485" s="127"/>
      <c r="O485" s="127"/>
      <c r="P485" s="127"/>
      <c r="Q485" s="127"/>
      <c r="R485" s="127"/>
      <c r="S485" s="127"/>
      <c r="T485" s="127"/>
      <c r="U485" s="127"/>
      <c r="W485" s="5"/>
      <c r="X485" s="5"/>
      <c r="Y485" s="5"/>
      <c r="Z485" s="5"/>
      <c r="AA485" s="5"/>
      <c r="AB485" s="5"/>
      <c r="AC485" s="5"/>
      <c r="AD485" s="5"/>
      <c r="AE485" s="5"/>
      <c r="AF485" s="5"/>
      <c r="AG485" s="5"/>
      <c r="AH485" s="5"/>
      <c r="AI485" s="5"/>
      <c r="AJ485" s="5"/>
      <c r="AK485" s="5"/>
      <c r="AL485" s="5"/>
      <c r="AM485" s="23"/>
    </row>
    <row r="486" spans="1:39" x14ac:dyDescent="0.2">
      <c r="A486" s="11"/>
      <c r="B486" s="11"/>
      <c r="C486" s="5"/>
      <c r="D486" s="5"/>
      <c r="E486" s="61"/>
      <c r="F486" s="5"/>
      <c r="G486" s="5"/>
      <c r="H486" s="5"/>
      <c r="I486" s="5"/>
      <c r="J486" s="5"/>
      <c r="K486" s="5"/>
      <c r="L486" s="5"/>
      <c r="M486" s="5"/>
      <c r="N486" s="5"/>
      <c r="O486" s="5"/>
      <c r="P486" s="5"/>
      <c r="Q486" s="5"/>
      <c r="R486" s="5"/>
      <c r="S486" s="5"/>
      <c r="T486" s="5"/>
      <c r="U486" s="5"/>
      <c r="W486" s="5"/>
      <c r="X486" s="5"/>
      <c r="Y486" s="5"/>
      <c r="Z486" s="5"/>
      <c r="AA486" s="5"/>
      <c r="AB486" s="5"/>
      <c r="AC486" s="5"/>
      <c r="AD486" s="5"/>
      <c r="AE486" s="5"/>
      <c r="AF486" s="5"/>
      <c r="AG486" s="5"/>
      <c r="AH486" s="5"/>
      <c r="AI486" s="5"/>
      <c r="AJ486" s="5"/>
      <c r="AK486" s="5"/>
      <c r="AL486" s="5"/>
      <c r="AM486" s="23"/>
    </row>
    <row r="487" spans="1:39" x14ac:dyDescent="0.2">
      <c r="A487" s="11"/>
      <c r="B487" s="11"/>
      <c r="C487" s="5"/>
      <c r="D487" s="5"/>
      <c r="E487" s="171"/>
      <c r="F487" s="5" t="s">
        <v>303</v>
      </c>
      <c r="G487" s="61"/>
      <c r="H487" s="5"/>
      <c r="I487" s="5"/>
      <c r="J487" s="5"/>
      <c r="K487" s="5"/>
      <c r="L487" s="5"/>
      <c r="M487" s="5"/>
      <c r="N487" s="5"/>
      <c r="O487" s="5"/>
      <c r="P487" s="5"/>
      <c r="Q487" s="5"/>
      <c r="R487" s="5"/>
      <c r="S487" s="5"/>
      <c r="T487" s="5"/>
      <c r="U487" s="5"/>
      <c r="W487" s="5"/>
      <c r="X487" s="5"/>
      <c r="Y487" s="5"/>
      <c r="Z487" s="5"/>
      <c r="AA487" s="5"/>
      <c r="AB487" s="5"/>
      <c r="AC487" s="5"/>
      <c r="AD487" s="5"/>
      <c r="AE487" s="5"/>
      <c r="AF487" s="5"/>
      <c r="AG487" s="5"/>
      <c r="AH487" s="5"/>
      <c r="AI487" s="5"/>
      <c r="AJ487" s="5"/>
      <c r="AK487" s="5"/>
      <c r="AL487" s="5"/>
      <c r="AM487" s="23"/>
    </row>
    <row r="488" spans="1:39" x14ac:dyDescent="0.2">
      <c r="A488" s="11"/>
      <c r="B488" s="11"/>
      <c r="C488" s="5"/>
      <c r="D488" s="5"/>
      <c r="E488" s="5"/>
      <c r="F488" s="5"/>
      <c r="G488" s="61" t="s">
        <v>312</v>
      </c>
      <c r="H488" s="5"/>
      <c r="I488" s="5"/>
      <c r="J488" s="5"/>
      <c r="K488" s="127"/>
      <c r="L488" s="127"/>
      <c r="M488" s="127"/>
      <c r="N488" s="127"/>
      <c r="O488" s="127"/>
      <c r="P488" s="127"/>
      <c r="Q488" s="127"/>
      <c r="R488" s="127"/>
      <c r="S488" s="127"/>
      <c r="T488" s="5"/>
      <c r="U488" s="5"/>
      <c r="W488" s="5"/>
      <c r="X488" s="5"/>
      <c r="Y488" s="5"/>
      <c r="Z488" s="5"/>
      <c r="AA488" s="5"/>
      <c r="AB488" s="5"/>
      <c r="AC488" s="5"/>
      <c r="AD488" s="5"/>
      <c r="AE488" s="5"/>
      <c r="AF488" s="5"/>
      <c r="AG488" s="5"/>
      <c r="AH488" s="5"/>
      <c r="AI488" s="5"/>
      <c r="AJ488" s="5"/>
      <c r="AK488" s="5"/>
      <c r="AL488" s="5"/>
      <c r="AM488" s="23"/>
    </row>
    <row r="489" spans="1:39" x14ac:dyDescent="0.2">
      <c r="A489" s="11"/>
      <c r="B489" s="11"/>
      <c r="C489" s="5"/>
      <c r="D489" s="5"/>
      <c r="E489" s="5"/>
      <c r="F489" s="5"/>
      <c r="G489" s="61" t="s">
        <v>313</v>
      </c>
      <c r="H489" s="5"/>
      <c r="I489" s="5"/>
      <c r="J489" s="5"/>
      <c r="K489" s="127"/>
      <c r="L489" s="127"/>
      <c r="M489" s="127"/>
      <c r="N489" s="127"/>
      <c r="O489" s="127"/>
      <c r="P489" s="127"/>
      <c r="Q489" s="127"/>
      <c r="R489" s="127"/>
      <c r="S489" s="127"/>
      <c r="T489" s="5"/>
      <c r="U489" s="5"/>
      <c r="W489" s="5"/>
      <c r="X489" s="5"/>
      <c r="Y489" s="5"/>
      <c r="Z489" s="5"/>
      <c r="AA489" s="5"/>
      <c r="AB489" s="5"/>
      <c r="AC489" s="5"/>
      <c r="AD489" s="5"/>
      <c r="AE489" s="5"/>
      <c r="AF489" s="5"/>
      <c r="AG489" s="5"/>
      <c r="AH489" s="5"/>
      <c r="AI489" s="5"/>
      <c r="AJ489" s="5"/>
      <c r="AK489" s="5"/>
      <c r="AL489" s="5"/>
      <c r="AM489" s="23"/>
    </row>
    <row r="490" spans="1:39" x14ac:dyDescent="0.2">
      <c r="A490" s="11"/>
      <c r="B490" s="11"/>
      <c r="C490" s="5"/>
      <c r="D490" s="5"/>
      <c r="E490" s="5"/>
      <c r="F490" s="5"/>
      <c r="G490" s="61" t="s">
        <v>306</v>
      </c>
      <c r="H490" s="5"/>
      <c r="I490" s="5"/>
      <c r="J490" s="5"/>
      <c r="K490" s="127"/>
      <c r="L490" s="127"/>
      <c r="M490" s="127"/>
      <c r="N490" s="127"/>
      <c r="O490" s="127"/>
      <c r="P490" s="127"/>
      <c r="Q490" s="127"/>
      <c r="R490" s="127"/>
      <c r="S490" s="127"/>
      <c r="T490" s="5"/>
      <c r="U490" s="5"/>
      <c r="W490" s="5"/>
      <c r="X490" s="5"/>
      <c r="Y490" s="5"/>
      <c r="Z490" s="5"/>
      <c r="AA490" s="5"/>
      <c r="AB490" s="5"/>
      <c r="AC490" s="5"/>
      <c r="AD490" s="5"/>
      <c r="AE490" s="5"/>
      <c r="AF490" s="5"/>
      <c r="AG490" s="5"/>
      <c r="AH490" s="5"/>
      <c r="AI490" s="5"/>
      <c r="AJ490" s="5"/>
      <c r="AK490" s="5"/>
      <c r="AL490" s="5"/>
      <c r="AM490" s="23"/>
    </row>
    <row r="491" spans="1:39" x14ac:dyDescent="0.2">
      <c r="A491" s="11"/>
      <c r="B491" s="11"/>
      <c r="C491" s="5"/>
      <c r="D491" s="5"/>
      <c r="E491" s="5"/>
      <c r="F491" s="5"/>
      <c r="G491" s="5"/>
      <c r="H491" s="61"/>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23"/>
    </row>
    <row r="492" spans="1:39" x14ac:dyDescent="0.2">
      <c r="A492" s="11"/>
      <c r="B492" s="11"/>
      <c r="C492" s="5"/>
      <c r="D492" s="5"/>
      <c r="E492" s="5"/>
      <c r="F492" s="5"/>
      <c r="G492" s="5"/>
      <c r="H492" s="61"/>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23"/>
    </row>
    <row r="493" spans="1:39" x14ac:dyDescent="0.2">
      <c r="A493" s="11"/>
      <c r="B493" s="11"/>
      <c r="C493" s="5"/>
      <c r="D493" s="5"/>
      <c r="E493" s="5"/>
      <c r="F493" s="5"/>
      <c r="G493" s="5"/>
      <c r="H493" s="61"/>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23"/>
    </row>
    <row r="494" spans="1:39" x14ac:dyDescent="0.2">
      <c r="A494" s="11"/>
      <c r="B494" s="11"/>
      <c r="C494" s="5"/>
      <c r="D494" s="5"/>
      <c r="E494" s="5"/>
      <c r="F494" s="5"/>
      <c r="G494" s="5"/>
      <c r="H494" s="61"/>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23"/>
    </row>
    <row r="495" spans="1:39" x14ac:dyDescent="0.2">
      <c r="A495" s="11"/>
      <c r="B495" s="11"/>
      <c r="C495" s="5"/>
      <c r="D495" s="5"/>
      <c r="E495" s="5"/>
      <c r="F495" s="5"/>
      <c r="G495" s="61"/>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23"/>
    </row>
    <row r="496" spans="1:39" x14ac:dyDescent="0.2">
      <c r="A496" s="11"/>
      <c r="B496" s="11"/>
      <c r="C496" s="134" t="s">
        <v>314</v>
      </c>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23"/>
    </row>
    <row r="497" spans="1:39" x14ac:dyDescent="0.2">
      <c r="A497" s="11"/>
      <c r="B497" s="36"/>
      <c r="C497" s="39" t="s">
        <v>25</v>
      </c>
      <c r="D497" s="27"/>
      <c r="E497" s="39" t="str">
        <f>IF(D497&lt;&gt;"","Please check the ‘+’ icon to the left and provide the necessary information","")</f>
        <v/>
      </c>
      <c r="F497" s="39"/>
      <c r="G497" s="39"/>
      <c r="H497" s="39"/>
      <c r="I497" s="37"/>
      <c r="J497" s="37"/>
      <c r="K497" s="5"/>
      <c r="L497" s="13"/>
      <c r="M497" s="37"/>
      <c r="N497" s="37"/>
      <c r="O497" s="37"/>
      <c r="P497" s="37"/>
      <c r="Q497" s="37"/>
      <c r="R497" s="37"/>
      <c r="S497" s="37"/>
      <c r="T497" s="37"/>
      <c r="U497" s="37"/>
      <c r="V497" s="48"/>
      <c r="W497" s="37"/>
      <c r="X497" s="37"/>
      <c r="Y497" s="37"/>
      <c r="Z497" s="37"/>
      <c r="AA497" s="37"/>
      <c r="AB497" s="37"/>
      <c r="AC497" s="37"/>
      <c r="AD497" s="37"/>
      <c r="AE497" s="5"/>
      <c r="AF497" s="5"/>
      <c r="AG497" s="5"/>
      <c r="AH497" s="5"/>
      <c r="AI497" s="5"/>
      <c r="AJ497" s="5"/>
      <c r="AK497" s="5"/>
      <c r="AL497" s="5"/>
      <c r="AM497" s="23"/>
    </row>
    <row r="498" spans="1:39" x14ac:dyDescent="0.2">
      <c r="A498" s="11"/>
      <c r="B498" s="36"/>
      <c r="C498" s="39" t="s">
        <v>27</v>
      </c>
      <c r="D498" s="28" t="s">
        <v>9</v>
      </c>
      <c r="E498" s="41"/>
      <c r="F498" s="49"/>
      <c r="G498" s="49"/>
      <c r="H498" s="49"/>
      <c r="I498" s="37"/>
      <c r="J498" s="37"/>
      <c r="K498" s="5"/>
      <c r="L498" s="13"/>
      <c r="M498" s="37"/>
      <c r="N498" s="37"/>
      <c r="O498" s="37"/>
      <c r="P498" s="37"/>
      <c r="Q498" s="37"/>
      <c r="R498" s="37"/>
      <c r="S498" s="37"/>
      <c r="T498" s="37"/>
      <c r="U498" s="37"/>
      <c r="V498" s="37"/>
      <c r="W498" s="37"/>
      <c r="X498" s="37"/>
      <c r="Y498" s="37"/>
      <c r="Z498" s="37"/>
      <c r="AA498" s="37"/>
      <c r="AB498" s="37"/>
      <c r="AC498" s="37"/>
      <c r="AD498" s="37"/>
      <c r="AE498" s="5"/>
      <c r="AF498" s="5"/>
      <c r="AG498" s="5"/>
      <c r="AH498" s="5"/>
      <c r="AI498" s="5"/>
      <c r="AJ498" s="5"/>
      <c r="AK498" s="5"/>
      <c r="AL498" s="5"/>
      <c r="AM498" s="23"/>
    </row>
    <row r="499" spans="1:39" x14ac:dyDescent="0.2">
      <c r="A499" s="11"/>
      <c r="B499" s="36"/>
      <c r="C499" s="39"/>
      <c r="D499" s="49"/>
      <c r="E499" s="41"/>
      <c r="F499" s="49"/>
      <c r="G499" s="49"/>
      <c r="H499" s="49"/>
      <c r="I499" s="37"/>
      <c r="J499" s="37"/>
      <c r="K499" s="5"/>
      <c r="L499" s="13"/>
      <c r="M499" s="37"/>
      <c r="N499" s="37"/>
      <c r="O499" s="37"/>
      <c r="P499" s="37"/>
      <c r="Q499" s="37"/>
      <c r="R499" s="37"/>
      <c r="S499" s="37"/>
      <c r="T499" s="37"/>
      <c r="U499" s="37"/>
      <c r="V499" s="37"/>
      <c r="W499" s="37"/>
      <c r="X499" s="37"/>
      <c r="Y499" s="37"/>
      <c r="Z499" s="37"/>
      <c r="AA499" s="37"/>
      <c r="AB499" s="37"/>
      <c r="AC499" s="37"/>
      <c r="AD499" s="37"/>
      <c r="AE499" s="5"/>
      <c r="AF499" s="5"/>
      <c r="AG499" s="5"/>
      <c r="AH499" s="5"/>
      <c r="AI499" s="5"/>
      <c r="AJ499" s="5"/>
      <c r="AK499" s="5"/>
      <c r="AL499" s="5"/>
      <c r="AM499" s="23"/>
    </row>
    <row r="500" spans="1:39" x14ac:dyDescent="0.2">
      <c r="A500" s="11"/>
      <c r="B500" s="36"/>
      <c r="C500" s="39"/>
      <c r="D500" s="49"/>
      <c r="E500" s="41"/>
      <c r="F500" s="49"/>
      <c r="G500" s="49"/>
      <c r="H500" s="49"/>
      <c r="I500" s="37"/>
      <c r="J500" s="37"/>
      <c r="K500" s="5"/>
      <c r="L500" s="13"/>
      <c r="M500" s="37"/>
      <c r="N500" s="37"/>
      <c r="O500" s="37"/>
      <c r="P500" s="37"/>
      <c r="Q500" s="37"/>
      <c r="R500" s="37"/>
      <c r="S500" s="37"/>
      <c r="T500" s="37"/>
      <c r="U500" s="37"/>
      <c r="V500" s="37"/>
      <c r="W500" s="37"/>
      <c r="X500" s="37"/>
      <c r="Y500" s="37"/>
      <c r="Z500" s="37"/>
      <c r="AA500" s="37"/>
      <c r="AB500" s="37"/>
      <c r="AC500" s="37"/>
      <c r="AD500" s="37"/>
      <c r="AE500" s="5"/>
      <c r="AF500" s="5"/>
      <c r="AG500" s="5"/>
      <c r="AH500" s="5"/>
      <c r="AI500" s="5"/>
      <c r="AJ500" s="5"/>
      <c r="AK500" s="5"/>
      <c r="AL500" s="5"/>
      <c r="AM500" s="23"/>
    </row>
    <row r="501" spans="1:39" x14ac:dyDescent="0.2">
      <c r="A501" s="11"/>
      <c r="B501" s="11"/>
      <c r="C501" s="27" t="s">
        <v>9</v>
      </c>
      <c r="D501" s="61" t="s">
        <v>315</v>
      </c>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23"/>
    </row>
    <row r="502" spans="1:39" x14ac:dyDescent="0.2">
      <c r="A502" s="11"/>
      <c r="B502" s="11"/>
      <c r="C502" s="29" t="s">
        <v>269</v>
      </c>
      <c r="D502" s="5"/>
      <c r="E502" s="5"/>
      <c r="F502" s="5"/>
      <c r="G502" s="5"/>
      <c r="H502" s="5"/>
      <c r="I502" s="5"/>
      <c r="J502" s="5"/>
      <c r="K502" s="5"/>
      <c r="L502" s="5"/>
      <c r="M502" s="5"/>
      <c r="N502" s="5"/>
      <c r="O502" s="5"/>
      <c r="P502" s="5" t="s">
        <v>138</v>
      </c>
      <c r="Q502" s="5"/>
      <c r="R502" s="5"/>
      <c r="S502" s="5"/>
      <c r="T502" s="5"/>
      <c r="U502" s="5"/>
      <c r="V502" s="5"/>
      <c r="W502" s="5"/>
      <c r="X502" s="5"/>
      <c r="Y502" s="5"/>
      <c r="Z502" s="5"/>
      <c r="AA502" s="5"/>
      <c r="AB502" s="5"/>
      <c r="AC502" s="5"/>
      <c r="AD502" s="5"/>
      <c r="AE502" s="5"/>
      <c r="AF502" s="5"/>
      <c r="AG502" s="5"/>
      <c r="AH502" s="5"/>
      <c r="AI502" s="5"/>
      <c r="AJ502" s="5"/>
      <c r="AK502" s="5"/>
      <c r="AL502" s="5"/>
      <c r="AM502" s="23"/>
    </row>
    <row r="503" spans="1:39" x14ac:dyDescent="0.2">
      <c r="A503" s="11"/>
      <c r="B503" s="11"/>
      <c r="C503" s="29" t="s">
        <v>269</v>
      </c>
      <c r="D503" s="29" t="s">
        <v>15</v>
      </c>
      <c r="E503" s="61" t="s">
        <v>316</v>
      </c>
      <c r="F503" s="5"/>
      <c r="G503" s="5"/>
      <c r="H503" s="5"/>
      <c r="I503" s="5"/>
      <c r="J503" s="5"/>
      <c r="K503" s="5"/>
      <c r="L503" s="5"/>
      <c r="M503" s="5"/>
      <c r="N503" s="5"/>
      <c r="O503" s="5"/>
      <c r="P503" s="130"/>
      <c r="Q503" s="131"/>
      <c r="R503" s="131"/>
      <c r="S503" s="132"/>
      <c r="T503" s="29"/>
      <c r="U503" s="5"/>
      <c r="V503" s="5"/>
      <c r="W503" s="5"/>
      <c r="X503" s="5"/>
      <c r="Y503" s="5"/>
      <c r="Z503" s="5"/>
      <c r="AA503" s="5"/>
      <c r="AB503" s="5"/>
      <c r="AC503" s="5"/>
      <c r="AD503" s="5"/>
      <c r="AE503" s="5"/>
      <c r="AF503" s="5"/>
      <c r="AG503" s="5"/>
      <c r="AH503" s="5"/>
      <c r="AI503" s="5"/>
      <c r="AJ503" s="5"/>
      <c r="AK503" s="5"/>
      <c r="AL503" s="5"/>
      <c r="AM503" s="23"/>
    </row>
    <row r="504" spans="1:39" x14ac:dyDescent="0.2">
      <c r="A504" s="11"/>
      <c r="B504" s="11"/>
      <c r="C504" s="29" t="s">
        <v>269</v>
      </c>
      <c r="D504" s="29"/>
      <c r="E504" s="61" t="s">
        <v>317</v>
      </c>
      <c r="F504" s="5"/>
      <c r="G504" s="5"/>
      <c r="H504" s="5"/>
      <c r="I504" s="5"/>
      <c r="J504" s="5"/>
      <c r="K504" s="5"/>
      <c r="L504" s="5"/>
      <c r="M504" s="5"/>
      <c r="N504" s="5"/>
      <c r="O504" s="5"/>
      <c r="P504" s="162"/>
      <c r="Q504" s="167"/>
      <c r="R504" s="167"/>
      <c r="S504" s="168"/>
      <c r="T504" s="29"/>
      <c r="U504" s="5"/>
      <c r="V504" s="5"/>
      <c r="W504" s="5"/>
      <c r="X504" s="5"/>
      <c r="Y504" s="5"/>
      <c r="Z504" s="5"/>
      <c r="AA504" s="5"/>
      <c r="AB504" s="5"/>
      <c r="AC504" s="5"/>
      <c r="AD504" s="5"/>
      <c r="AE504" s="5"/>
      <c r="AF504" s="5"/>
      <c r="AG504" s="5"/>
      <c r="AH504" s="5"/>
      <c r="AI504" s="5"/>
      <c r="AJ504" s="5"/>
      <c r="AK504" s="5"/>
      <c r="AL504" s="5"/>
      <c r="AM504" s="23"/>
    </row>
    <row r="505" spans="1:39" x14ac:dyDescent="0.2">
      <c r="A505" s="11"/>
      <c r="B505" s="11"/>
      <c r="C505" s="29" t="s">
        <v>269</v>
      </c>
      <c r="D505" s="29"/>
      <c r="E505" s="61"/>
      <c r="F505" s="5"/>
      <c r="G505" s="5"/>
      <c r="H505" s="5"/>
      <c r="I505" s="5"/>
      <c r="J505" s="5"/>
      <c r="K505" s="5"/>
      <c r="L505" s="5"/>
      <c r="M505" s="5"/>
      <c r="N505" s="5"/>
      <c r="O505" s="5"/>
      <c r="P505" s="130"/>
      <c r="Q505" s="131"/>
      <c r="R505" s="131"/>
      <c r="S505" s="132"/>
      <c r="T505" s="29"/>
      <c r="U505" s="5"/>
      <c r="V505" s="5"/>
      <c r="W505" s="5"/>
      <c r="X505" s="5"/>
      <c r="Y505" s="5"/>
      <c r="Z505" s="5"/>
      <c r="AA505" s="5"/>
      <c r="AB505" s="5"/>
      <c r="AC505" s="5"/>
      <c r="AD505" s="5"/>
      <c r="AE505" s="5"/>
      <c r="AF505" s="5"/>
      <c r="AG505" s="5"/>
      <c r="AH505" s="5"/>
      <c r="AI505" s="5"/>
      <c r="AJ505" s="5"/>
      <c r="AK505" s="5"/>
      <c r="AL505" s="5"/>
      <c r="AM505" s="23"/>
    </row>
    <row r="506" spans="1:39" x14ac:dyDescent="0.2">
      <c r="A506" s="11"/>
      <c r="B506" s="11"/>
      <c r="C506" s="29" t="s">
        <v>269</v>
      </c>
      <c r="D506" s="29"/>
      <c r="E506" s="61"/>
      <c r="F506" s="5"/>
      <c r="G506" s="5"/>
      <c r="H506" s="5"/>
      <c r="I506" s="5"/>
      <c r="J506" s="5"/>
      <c r="K506" s="5"/>
      <c r="L506" s="5"/>
      <c r="M506" s="5"/>
      <c r="N506" s="5"/>
      <c r="O506" s="5"/>
      <c r="P506" s="162"/>
      <c r="Q506" s="167"/>
      <c r="R506" s="167"/>
      <c r="S506" s="168"/>
      <c r="T506" s="29"/>
      <c r="U506" s="5"/>
      <c r="V506" s="5"/>
      <c r="W506" s="5"/>
      <c r="X506" s="5"/>
      <c r="Y506" s="5"/>
      <c r="Z506" s="5"/>
      <c r="AA506" s="5"/>
      <c r="AB506" s="5"/>
      <c r="AC506" s="5"/>
      <c r="AD506" s="5"/>
      <c r="AE506" s="5"/>
      <c r="AF506" s="5"/>
      <c r="AG506" s="5"/>
      <c r="AH506" s="5"/>
      <c r="AI506" s="5"/>
      <c r="AJ506" s="5"/>
      <c r="AK506" s="5"/>
      <c r="AL506" s="5"/>
      <c r="AM506" s="23"/>
    </row>
    <row r="507" spans="1:39" x14ac:dyDescent="0.2">
      <c r="A507" s="11"/>
      <c r="B507" s="11"/>
      <c r="C507" s="29" t="s">
        <v>269</v>
      </c>
      <c r="D507" s="29"/>
      <c r="E507" s="61"/>
      <c r="F507" s="5"/>
      <c r="G507" s="5"/>
      <c r="H507" s="5"/>
      <c r="I507" s="5"/>
      <c r="J507" s="5"/>
      <c r="K507" s="5"/>
      <c r="L507" s="5"/>
      <c r="M507" s="5"/>
      <c r="N507" s="5"/>
      <c r="O507" s="5"/>
      <c r="P507" s="130"/>
      <c r="Q507" s="131"/>
      <c r="R507" s="131"/>
      <c r="S507" s="132"/>
      <c r="T507" s="29"/>
      <c r="U507" s="5"/>
      <c r="V507" s="5"/>
      <c r="W507" s="5"/>
      <c r="X507" s="5"/>
      <c r="Y507" s="5"/>
      <c r="Z507" s="5"/>
      <c r="AA507" s="5"/>
      <c r="AB507" s="5"/>
      <c r="AC507" s="5"/>
      <c r="AD507" s="5"/>
      <c r="AE507" s="5"/>
      <c r="AF507" s="5"/>
      <c r="AG507" s="5"/>
      <c r="AH507" s="5"/>
      <c r="AI507" s="5"/>
      <c r="AJ507" s="5"/>
      <c r="AK507" s="5"/>
      <c r="AL507" s="5"/>
      <c r="AM507" s="23"/>
    </row>
    <row r="508" spans="1:39" x14ac:dyDescent="0.2">
      <c r="A508" s="11"/>
      <c r="B508" s="11"/>
      <c r="C508" s="29" t="s">
        <v>269</v>
      </c>
      <c r="D508" s="29"/>
      <c r="E508" s="61"/>
      <c r="F508" s="5"/>
      <c r="G508" s="5"/>
      <c r="H508" s="5"/>
      <c r="I508" s="5"/>
      <c r="J508" s="5"/>
      <c r="K508" s="5"/>
      <c r="L508" s="5"/>
      <c r="M508" s="5"/>
      <c r="N508" s="5"/>
      <c r="O508" s="5"/>
      <c r="P508" s="5"/>
      <c r="Q508" s="5"/>
      <c r="R508" s="5"/>
      <c r="S508" s="5"/>
      <c r="T508" s="29"/>
      <c r="U508" s="5"/>
      <c r="V508" s="5"/>
      <c r="W508" s="5"/>
      <c r="X508" s="5"/>
      <c r="Y508" s="5"/>
      <c r="Z508" s="5"/>
      <c r="AA508" s="5"/>
      <c r="AB508" s="5"/>
      <c r="AC508" s="5"/>
      <c r="AD508" s="5"/>
      <c r="AE508" s="5"/>
      <c r="AF508" s="5"/>
      <c r="AG508" s="5"/>
      <c r="AH508" s="5"/>
      <c r="AI508" s="5"/>
      <c r="AJ508" s="5"/>
      <c r="AK508" s="5"/>
      <c r="AL508" s="5"/>
      <c r="AM508" s="23"/>
    </row>
    <row r="509" spans="1:39" x14ac:dyDescent="0.2">
      <c r="A509" s="11"/>
      <c r="B509" s="11"/>
      <c r="C509" s="29" t="s">
        <v>269</v>
      </c>
      <c r="D509" s="29" t="s">
        <v>15</v>
      </c>
      <c r="E509" s="61" t="s">
        <v>318</v>
      </c>
      <c r="F509" s="5"/>
      <c r="G509" s="5"/>
      <c r="H509" s="5"/>
      <c r="I509" s="5"/>
      <c r="J509" s="5"/>
      <c r="K509" s="5"/>
      <c r="L509" s="5"/>
      <c r="M509" s="5"/>
      <c r="N509" s="5"/>
      <c r="O509" s="5"/>
      <c r="P509" s="77"/>
      <c r="Q509" s="173"/>
      <c r="R509" s="173"/>
      <c r="S509" s="173"/>
      <c r="T509" s="173"/>
      <c r="U509" s="173"/>
      <c r="V509" s="173"/>
      <c r="W509" s="5"/>
      <c r="X509" s="5"/>
      <c r="Y509" s="5"/>
      <c r="Z509" s="5"/>
      <c r="AA509" s="5"/>
      <c r="AB509" s="5"/>
      <c r="AC509" s="5"/>
      <c r="AD509" s="5"/>
      <c r="AE509" s="5"/>
      <c r="AF509" s="5"/>
      <c r="AG509" s="5"/>
      <c r="AH509" s="5"/>
      <c r="AI509" s="5"/>
      <c r="AJ509" s="5"/>
      <c r="AK509" s="5"/>
      <c r="AL509" s="5"/>
      <c r="AM509" s="23"/>
    </row>
    <row r="510" spans="1:39" x14ac:dyDescent="0.2">
      <c r="A510" s="11"/>
      <c r="B510" s="11"/>
      <c r="C510" s="29" t="s">
        <v>269</v>
      </c>
      <c r="D510" s="29" t="s">
        <v>15</v>
      </c>
      <c r="E510" s="61" t="s">
        <v>319</v>
      </c>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23"/>
    </row>
    <row r="511" spans="1:39" x14ac:dyDescent="0.2">
      <c r="A511" s="11"/>
      <c r="B511" s="11"/>
      <c r="C511" s="29" t="s">
        <v>269</v>
      </c>
      <c r="D511" s="5"/>
      <c r="E511" s="5"/>
      <c r="F511" s="5"/>
      <c r="G511" s="5"/>
      <c r="H511" s="27" t="s">
        <v>9</v>
      </c>
      <c r="I511" s="61" t="s">
        <v>27</v>
      </c>
      <c r="J511" s="5" t="s">
        <v>68</v>
      </c>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23"/>
    </row>
    <row r="512" spans="1:39" x14ac:dyDescent="0.2">
      <c r="A512" s="11"/>
      <c r="B512" s="11"/>
      <c r="C512" s="29" t="s">
        <v>269</v>
      </c>
      <c r="D512" s="5"/>
      <c r="E512" s="5"/>
      <c r="F512" s="5"/>
      <c r="G512" s="5"/>
      <c r="H512" s="28"/>
      <c r="I512" s="5" t="s">
        <v>25</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23"/>
    </row>
    <row r="513" spans="1:39" x14ac:dyDescent="0.2">
      <c r="A513" s="11"/>
      <c r="B513" s="11"/>
      <c r="C513" s="29" t="s">
        <v>269</v>
      </c>
      <c r="D513" s="5"/>
      <c r="E513" s="5"/>
      <c r="F513" s="5"/>
      <c r="G513" s="5"/>
      <c r="H513" s="5"/>
      <c r="I513" s="29" t="s">
        <v>15</v>
      </c>
      <c r="J513" s="61" t="s">
        <v>320</v>
      </c>
      <c r="K513" s="5"/>
      <c r="L513" s="5"/>
      <c r="M513" s="5"/>
      <c r="N513" s="5"/>
      <c r="O513" s="5"/>
      <c r="P513" s="130"/>
      <c r="Q513" s="131"/>
      <c r="R513" s="131"/>
      <c r="S513" s="132"/>
      <c r="T513" s="5"/>
      <c r="U513" s="5"/>
      <c r="V513" s="5"/>
      <c r="W513" s="5"/>
      <c r="X513" s="5"/>
      <c r="Y513" s="5"/>
      <c r="Z513" s="5"/>
      <c r="AA513" s="5"/>
      <c r="AB513" s="5"/>
      <c r="AC513" s="5"/>
      <c r="AD513" s="5"/>
      <c r="AE513" s="5"/>
      <c r="AF513" s="5"/>
      <c r="AG513" s="5"/>
      <c r="AH513" s="5"/>
      <c r="AI513" s="5"/>
      <c r="AJ513" s="5"/>
      <c r="AK513" s="5"/>
      <c r="AL513" s="5"/>
      <c r="AM513" s="23"/>
    </row>
    <row r="514" spans="1:39" x14ac:dyDescent="0.2">
      <c r="A514" s="11"/>
      <c r="B514" s="11"/>
      <c r="C514" s="29" t="s">
        <v>269</v>
      </c>
      <c r="D514" s="5"/>
      <c r="E514" s="5"/>
      <c r="F514" s="5"/>
      <c r="G514" s="5"/>
      <c r="H514" s="5"/>
      <c r="I514" s="29" t="s">
        <v>15</v>
      </c>
      <c r="J514" s="61" t="s">
        <v>321</v>
      </c>
      <c r="K514" s="5"/>
      <c r="L514" s="5"/>
      <c r="M514" s="5"/>
      <c r="N514" s="5"/>
      <c r="O514" s="5"/>
      <c r="P514" s="77"/>
      <c r="Q514" s="173"/>
      <c r="R514" s="173"/>
      <c r="S514" s="173"/>
      <c r="T514" s="173"/>
      <c r="U514" s="173"/>
      <c r="V514" s="173"/>
      <c r="W514" s="5"/>
      <c r="X514" s="5"/>
      <c r="Y514" s="5"/>
      <c r="Z514" s="5"/>
      <c r="AA514" s="5"/>
      <c r="AB514" s="5"/>
      <c r="AC514" s="5"/>
      <c r="AD514" s="5"/>
      <c r="AE514" s="5"/>
      <c r="AF514" s="5"/>
      <c r="AG514" s="5"/>
      <c r="AH514" s="5"/>
      <c r="AI514" s="5"/>
      <c r="AJ514" s="5"/>
      <c r="AK514" s="5"/>
      <c r="AL514" s="5"/>
      <c r="AM514" s="23"/>
    </row>
    <row r="515" spans="1:39" x14ac:dyDescent="0.2">
      <c r="A515" s="11"/>
      <c r="B515" s="11"/>
      <c r="C515" s="29" t="s">
        <v>269</v>
      </c>
      <c r="D515" s="5"/>
      <c r="E515" s="5"/>
      <c r="F515" s="5"/>
      <c r="G515" s="5"/>
      <c r="H515" s="29"/>
      <c r="I515" s="61"/>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23"/>
    </row>
    <row r="516" spans="1:39" x14ac:dyDescent="0.2">
      <c r="A516" s="11"/>
      <c r="B516" s="11"/>
      <c r="C516" s="29" t="s">
        <v>269</v>
      </c>
      <c r="D516" s="5"/>
      <c r="E516" s="5"/>
      <c r="F516" s="5"/>
      <c r="G516" s="5"/>
      <c r="H516" s="5"/>
      <c r="I516" s="5"/>
      <c r="J516" s="5"/>
      <c r="K516" s="5"/>
      <c r="L516" s="5"/>
      <c r="M516" s="5"/>
      <c r="N516" s="5"/>
      <c r="O516" s="5"/>
      <c r="P516" s="5" t="s">
        <v>141</v>
      </c>
      <c r="Q516" s="5"/>
      <c r="R516" s="5"/>
      <c r="S516" s="5"/>
      <c r="T516" s="5"/>
      <c r="U516" s="5"/>
      <c r="V516" s="5"/>
      <c r="W516" s="5"/>
      <c r="X516" s="5"/>
      <c r="Y516" s="5"/>
      <c r="Z516" s="5"/>
      <c r="AA516" s="5"/>
      <c r="AB516" s="5"/>
      <c r="AC516" s="5"/>
      <c r="AD516" s="5"/>
      <c r="AE516" s="5"/>
      <c r="AF516" s="5"/>
      <c r="AG516" s="5"/>
      <c r="AH516" s="5"/>
      <c r="AI516" s="5"/>
      <c r="AJ516" s="5"/>
      <c r="AK516" s="5"/>
      <c r="AL516" s="5"/>
      <c r="AM516" s="23"/>
    </row>
    <row r="517" spans="1:39" x14ac:dyDescent="0.2">
      <c r="A517" s="11"/>
      <c r="B517" s="11"/>
      <c r="C517" s="29" t="s">
        <v>269</v>
      </c>
      <c r="D517" s="29" t="s">
        <v>15</v>
      </c>
      <c r="E517" s="61" t="s">
        <v>322</v>
      </c>
      <c r="F517" s="5"/>
      <c r="G517" s="5"/>
      <c r="H517" s="5"/>
      <c r="I517" s="5"/>
      <c r="J517" s="5"/>
      <c r="K517" s="5"/>
      <c r="L517" s="5"/>
      <c r="M517" s="5"/>
      <c r="N517" s="5"/>
      <c r="O517" s="5"/>
      <c r="P517" s="127"/>
      <c r="Q517" s="127"/>
      <c r="R517" s="127"/>
      <c r="S517" s="127"/>
      <c r="T517" s="127"/>
      <c r="U517" s="127"/>
      <c r="V517" s="127"/>
      <c r="W517" s="127"/>
      <c r="X517" s="127"/>
      <c r="Y517" s="5"/>
      <c r="Z517" s="5"/>
      <c r="AA517" s="5"/>
      <c r="AB517" s="5"/>
      <c r="AC517" s="5"/>
      <c r="AD517" s="5"/>
      <c r="AE517" s="5"/>
      <c r="AF517" s="5"/>
      <c r="AG517" s="5"/>
      <c r="AH517" s="5"/>
      <c r="AI517" s="5"/>
      <c r="AJ517" s="5"/>
      <c r="AK517" s="5"/>
      <c r="AL517" s="5"/>
      <c r="AM517" s="23"/>
    </row>
    <row r="518" spans="1:39" x14ac:dyDescent="0.2">
      <c r="A518" s="11"/>
      <c r="B518" s="11"/>
      <c r="C518" s="29" t="s">
        <v>269</v>
      </c>
      <c r="D518" s="29"/>
      <c r="E518" s="61"/>
      <c r="F518" s="5"/>
      <c r="G518" s="5"/>
      <c r="H518" s="5"/>
      <c r="I518" s="5"/>
      <c r="J518" s="5"/>
      <c r="K518" s="5"/>
      <c r="L518" s="5"/>
      <c r="M518" s="5"/>
      <c r="N518" s="5"/>
      <c r="O518" s="5"/>
      <c r="P518" s="127"/>
      <c r="Q518" s="127"/>
      <c r="R518" s="127"/>
      <c r="S518" s="127"/>
      <c r="T518" s="127"/>
      <c r="U518" s="127"/>
      <c r="V518" s="127"/>
      <c r="W518" s="127"/>
      <c r="X518" s="127"/>
      <c r="Y518" s="5"/>
      <c r="Z518" s="5"/>
      <c r="AA518" s="5"/>
      <c r="AB518" s="5"/>
      <c r="AC518" s="5"/>
      <c r="AD518" s="5"/>
      <c r="AE518" s="5"/>
      <c r="AF518" s="5"/>
      <c r="AG518" s="5"/>
      <c r="AH518" s="5"/>
      <c r="AI518" s="5"/>
      <c r="AJ518" s="5"/>
      <c r="AK518" s="5"/>
      <c r="AL518" s="5"/>
      <c r="AM518" s="23"/>
    </row>
    <row r="519" spans="1:39" x14ac:dyDescent="0.2">
      <c r="A519" s="11"/>
      <c r="B519" s="11"/>
      <c r="C519" s="29" t="s">
        <v>269</v>
      </c>
      <c r="D519" s="29"/>
      <c r="E519" s="61"/>
      <c r="F519" s="5"/>
      <c r="G519" s="5"/>
      <c r="H519" s="5"/>
      <c r="I519" s="5"/>
      <c r="J519" s="5"/>
      <c r="K519" s="5"/>
      <c r="L519" s="5"/>
      <c r="M519" s="5"/>
      <c r="N519" s="5"/>
      <c r="O519" s="5"/>
      <c r="P519" s="127"/>
      <c r="Q519" s="127"/>
      <c r="R519" s="127"/>
      <c r="S519" s="127"/>
      <c r="T519" s="127"/>
      <c r="U519" s="127"/>
      <c r="V519" s="127"/>
      <c r="W519" s="127"/>
      <c r="X519" s="127"/>
      <c r="Y519" s="5"/>
      <c r="Z519" s="5"/>
      <c r="AA519" s="5"/>
      <c r="AB519" s="5"/>
      <c r="AC519" s="5"/>
      <c r="AD519" s="5"/>
      <c r="AE519" s="5"/>
      <c r="AF519" s="5"/>
      <c r="AG519" s="5"/>
      <c r="AH519" s="5"/>
      <c r="AI519" s="5"/>
      <c r="AJ519" s="5"/>
      <c r="AK519" s="5"/>
      <c r="AL519" s="5"/>
      <c r="AM519" s="23"/>
    </row>
    <row r="520" spans="1:39" x14ac:dyDescent="0.2">
      <c r="A520" s="11"/>
      <c r="B520" s="11"/>
      <c r="C520" s="29" t="s">
        <v>269</v>
      </c>
      <c r="D520" s="29"/>
      <c r="E520" s="61"/>
      <c r="F520" s="5"/>
      <c r="G520" s="5"/>
      <c r="H520" s="5"/>
      <c r="I520" s="5"/>
      <c r="J520" s="5"/>
      <c r="K520" s="5"/>
      <c r="L520" s="5"/>
      <c r="M520" s="5"/>
      <c r="N520" s="5"/>
      <c r="O520" s="5"/>
      <c r="P520" s="127"/>
      <c r="Q520" s="127"/>
      <c r="R520" s="127"/>
      <c r="S520" s="127"/>
      <c r="T520" s="127"/>
      <c r="U520" s="127"/>
      <c r="V520" s="127"/>
      <c r="W520" s="127"/>
      <c r="X520" s="127"/>
      <c r="Y520" s="5"/>
      <c r="Z520" s="5"/>
      <c r="AA520" s="5"/>
      <c r="AB520" s="5"/>
      <c r="AC520" s="5"/>
      <c r="AD520" s="5"/>
      <c r="AE520" s="5"/>
      <c r="AF520" s="5"/>
      <c r="AG520" s="5"/>
      <c r="AH520" s="5"/>
      <c r="AI520" s="5"/>
      <c r="AJ520" s="5"/>
      <c r="AK520" s="5"/>
      <c r="AL520" s="5"/>
      <c r="AM520" s="23"/>
    </row>
    <row r="521" spans="1:39" x14ac:dyDescent="0.2">
      <c r="A521" s="11"/>
      <c r="B521" s="11"/>
      <c r="C521" s="29" t="s">
        <v>269</v>
      </c>
      <c r="D521" s="29"/>
      <c r="E521" s="61"/>
      <c r="F521" s="5"/>
      <c r="G521" s="5"/>
      <c r="H521" s="5"/>
      <c r="I521" s="5"/>
      <c r="J521" s="5"/>
      <c r="K521" s="5"/>
      <c r="L521" s="5"/>
      <c r="M521" s="5"/>
      <c r="N521" s="5"/>
      <c r="O521" s="5"/>
      <c r="P521" s="127"/>
      <c r="Q521" s="127"/>
      <c r="R521" s="127"/>
      <c r="S521" s="127"/>
      <c r="T521" s="127"/>
      <c r="U521" s="127"/>
      <c r="V521" s="127"/>
      <c r="W521" s="127"/>
      <c r="X521" s="127"/>
      <c r="Y521" s="5"/>
      <c r="Z521" s="5"/>
      <c r="AA521" s="5"/>
      <c r="AB521" s="5"/>
      <c r="AC521" s="5"/>
      <c r="AD521" s="5"/>
      <c r="AE521" s="5"/>
      <c r="AF521" s="5"/>
      <c r="AG521" s="5"/>
      <c r="AH521" s="5"/>
      <c r="AI521" s="5"/>
      <c r="AJ521" s="5"/>
      <c r="AK521" s="5"/>
      <c r="AL521" s="5"/>
      <c r="AM521" s="23"/>
    </row>
    <row r="522" spans="1:39" x14ac:dyDescent="0.2">
      <c r="A522" s="11"/>
      <c r="B522" s="11"/>
      <c r="C522" s="29" t="s">
        <v>269</v>
      </c>
      <c r="D522" s="5"/>
      <c r="E522" s="5"/>
      <c r="F522" s="5"/>
      <c r="G522" s="5"/>
      <c r="H522" s="29"/>
      <c r="I522" s="61"/>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23"/>
    </row>
    <row r="523" spans="1:39" x14ac:dyDescent="0.2">
      <c r="A523" s="11"/>
      <c r="B523" s="11"/>
      <c r="C523" s="29" t="s">
        <v>269</v>
      </c>
      <c r="D523" s="5"/>
      <c r="E523" s="5"/>
      <c r="F523" s="5"/>
      <c r="G523" s="5"/>
      <c r="H523" s="29"/>
      <c r="I523" s="61"/>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23"/>
    </row>
    <row r="524" spans="1:39" x14ac:dyDescent="0.2">
      <c r="A524" s="11"/>
      <c r="B524" s="11"/>
      <c r="C524" s="29" t="s">
        <v>269</v>
      </c>
      <c r="D524" s="29" t="s">
        <v>15</v>
      </c>
      <c r="E524" s="61" t="s">
        <v>318</v>
      </c>
      <c r="F524" s="5"/>
      <c r="G524" s="5"/>
      <c r="H524" s="5"/>
      <c r="I524" s="5"/>
      <c r="J524" s="5"/>
      <c r="K524" s="5"/>
      <c r="L524" s="5"/>
      <c r="M524" s="5"/>
      <c r="N524" s="5"/>
      <c r="O524" s="5"/>
      <c r="P524" s="77"/>
      <c r="Q524" s="77"/>
      <c r="R524" s="77"/>
      <c r="S524" s="77"/>
      <c r="T524" s="77"/>
      <c r="U524" s="77"/>
      <c r="V524" s="77"/>
      <c r="W524" s="5"/>
      <c r="X524" s="5"/>
      <c r="Y524" s="5"/>
      <c r="Z524" s="5"/>
      <c r="AA524" s="5"/>
      <c r="AB524" s="5"/>
      <c r="AC524" s="5"/>
      <c r="AD524" s="5"/>
      <c r="AE524" s="5"/>
      <c r="AF524" s="5"/>
      <c r="AG524" s="5"/>
      <c r="AH524" s="5"/>
      <c r="AI524" s="5"/>
      <c r="AJ524" s="5"/>
      <c r="AK524" s="5"/>
      <c r="AL524" s="5"/>
      <c r="AM524" s="23"/>
    </row>
    <row r="525" spans="1:39" x14ac:dyDescent="0.2">
      <c r="A525" s="11"/>
      <c r="B525" s="11"/>
      <c r="C525" s="29" t="s">
        <v>269</v>
      </c>
      <c r="D525" s="29" t="s">
        <v>15</v>
      </c>
      <c r="E525" s="61" t="s">
        <v>319</v>
      </c>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23"/>
    </row>
    <row r="526" spans="1:39" x14ac:dyDescent="0.2">
      <c r="A526" s="11"/>
      <c r="B526" s="11"/>
      <c r="C526" s="29" t="s">
        <v>269</v>
      </c>
      <c r="D526" s="5"/>
      <c r="E526" s="5"/>
      <c r="F526" s="5"/>
      <c r="G526" s="5"/>
      <c r="H526" s="27" t="s">
        <v>9</v>
      </c>
      <c r="I526" s="61" t="s">
        <v>27</v>
      </c>
      <c r="J526" s="5" t="s">
        <v>68</v>
      </c>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23"/>
    </row>
    <row r="527" spans="1:39" x14ac:dyDescent="0.2">
      <c r="A527" s="11"/>
      <c r="B527" s="11"/>
      <c r="C527" s="29" t="s">
        <v>269</v>
      </c>
      <c r="D527" s="5"/>
      <c r="E527" s="5"/>
      <c r="F527" s="5"/>
      <c r="G527" s="5"/>
      <c r="H527" s="174"/>
      <c r="I527" s="5" t="s">
        <v>25</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23"/>
    </row>
    <row r="528" spans="1:39" x14ac:dyDescent="0.2">
      <c r="A528" s="11"/>
      <c r="B528" s="11"/>
      <c r="C528" s="29" t="s">
        <v>269</v>
      </c>
      <c r="D528" s="5"/>
      <c r="E528" s="5"/>
      <c r="F528" s="5"/>
      <c r="G528" s="5"/>
      <c r="H528" s="5"/>
      <c r="I528" s="29" t="s">
        <v>15</v>
      </c>
      <c r="J528" s="61" t="s">
        <v>323</v>
      </c>
      <c r="K528" s="5"/>
      <c r="L528" s="5"/>
      <c r="M528" s="5"/>
      <c r="N528" s="5"/>
      <c r="O528" s="5"/>
      <c r="Q528" s="127"/>
      <c r="R528" s="127"/>
      <c r="S528" s="127"/>
      <c r="T528" s="127"/>
      <c r="U528" s="127"/>
      <c r="V528" s="127"/>
      <c r="W528" s="127"/>
      <c r="X528" s="127"/>
      <c r="Y528" s="127"/>
      <c r="Z528" s="5"/>
      <c r="AA528" s="5"/>
      <c r="AB528" s="5"/>
      <c r="AC528" s="5"/>
      <c r="AD528" s="5"/>
      <c r="AE528" s="5"/>
      <c r="AF528" s="5"/>
      <c r="AG528" s="5"/>
      <c r="AH528" s="5"/>
      <c r="AI528" s="5"/>
      <c r="AJ528" s="5"/>
      <c r="AK528" s="5"/>
      <c r="AL528" s="5"/>
      <c r="AM528" s="23"/>
    </row>
    <row r="529" spans="1:39" x14ac:dyDescent="0.2">
      <c r="A529" s="11"/>
      <c r="B529" s="11"/>
      <c r="C529" s="29" t="s">
        <v>269</v>
      </c>
      <c r="D529" s="5"/>
      <c r="E529" s="5"/>
      <c r="F529" s="5"/>
      <c r="G529" s="5"/>
      <c r="H529" s="5"/>
      <c r="I529" s="29" t="s">
        <v>15</v>
      </c>
      <c r="J529" s="61" t="s">
        <v>321</v>
      </c>
      <c r="K529" s="5"/>
      <c r="L529" s="5"/>
      <c r="M529" s="5"/>
      <c r="N529" s="5"/>
      <c r="O529" s="5"/>
      <c r="Q529" s="175"/>
      <c r="R529" s="175"/>
      <c r="S529" s="175"/>
      <c r="T529" s="175"/>
      <c r="U529" s="175"/>
      <c r="V529" s="175"/>
      <c r="W529" s="175"/>
      <c r="AA529" s="5"/>
      <c r="AB529" s="5"/>
      <c r="AC529" s="5"/>
      <c r="AD529" s="5"/>
      <c r="AE529" s="5"/>
      <c r="AF529" s="5"/>
      <c r="AG529" s="5"/>
      <c r="AH529" s="5"/>
      <c r="AI529" s="5"/>
      <c r="AJ529" s="5"/>
      <c r="AK529" s="5"/>
      <c r="AL529" s="5"/>
      <c r="AM529" s="23"/>
    </row>
    <row r="530" spans="1:39" x14ac:dyDescent="0.2">
      <c r="A530" s="11"/>
      <c r="B530" s="11"/>
      <c r="C530" s="29" t="s">
        <v>269</v>
      </c>
      <c r="D530" s="5"/>
      <c r="E530" s="5"/>
      <c r="F530" s="5"/>
      <c r="G530" s="5"/>
      <c r="H530" s="29"/>
      <c r="I530" s="61"/>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23"/>
    </row>
    <row r="531" spans="1:39" x14ac:dyDescent="0.2">
      <c r="A531" s="11"/>
      <c r="B531" s="11"/>
      <c r="C531" s="29" t="s">
        <v>269</v>
      </c>
      <c r="D531" s="5"/>
      <c r="E531" s="5"/>
      <c r="F531" s="5"/>
      <c r="G531" s="5"/>
      <c r="H531" s="29"/>
      <c r="I531" s="61"/>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23"/>
    </row>
    <row r="532" spans="1:39" x14ac:dyDescent="0.2">
      <c r="A532" s="11"/>
      <c r="B532" s="11"/>
      <c r="C532" s="27"/>
      <c r="D532" s="61" t="s">
        <v>324</v>
      </c>
      <c r="E532" s="5"/>
      <c r="F532" s="5"/>
      <c r="G532" s="5"/>
      <c r="H532" s="29"/>
      <c r="I532" s="61"/>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23"/>
    </row>
    <row r="533" spans="1:39" x14ac:dyDescent="0.2">
      <c r="A533" s="11"/>
      <c r="B533" s="11"/>
      <c r="C533" s="5"/>
      <c r="D533" s="29" t="s">
        <v>15</v>
      </c>
      <c r="E533" s="61" t="s">
        <v>325</v>
      </c>
      <c r="F533" s="5"/>
      <c r="G533" s="5"/>
      <c r="H533" s="27"/>
      <c r="I533" s="61" t="s">
        <v>326</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23"/>
    </row>
    <row r="534" spans="1:39" x14ac:dyDescent="0.2">
      <c r="A534" s="11"/>
      <c r="B534" s="11"/>
      <c r="C534" s="5"/>
      <c r="D534" s="61"/>
      <c r="E534" s="5"/>
      <c r="F534" s="5"/>
      <c r="G534" s="5"/>
      <c r="H534" s="28"/>
      <c r="I534" s="5" t="s">
        <v>327</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23"/>
    </row>
    <row r="535" spans="1:39" x14ac:dyDescent="0.2">
      <c r="A535" s="11"/>
      <c r="B535" s="11"/>
      <c r="C535" s="5"/>
      <c r="D535" s="61"/>
      <c r="E535" s="5"/>
      <c r="F535" s="5"/>
      <c r="G535" s="5"/>
      <c r="H535" s="29"/>
      <c r="I535" s="61"/>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23"/>
    </row>
    <row r="536" spans="1:39" x14ac:dyDescent="0.2">
      <c r="A536" s="11"/>
      <c r="B536" s="11"/>
      <c r="C536" s="5"/>
      <c r="D536" s="61"/>
      <c r="E536" s="61" t="s">
        <v>328</v>
      </c>
      <c r="F536" s="5"/>
      <c r="G536" s="5"/>
      <c r="H536" s="27"/>
      <c r="I536" s="61" t="s">
        <v>329</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23"/>
    </row>
    <row r="537" spans="1:39" x14ac:dyDescent="0.2">
      <c r="A537" s="11"/>
      <c r="B537" s="11"/>
      <c r="C537" s="5"/>
      <c r="D537" s="61"/>
      <c r="E537" s="5"/>
      <c r="F537" s="5"/>
      <c r="G537" s="5"/>
      <c r="H537" s="28"/>
      <c r="I537" s="5" t="s">
        <v>330</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23"/>
    </row>
    <row r="538" spans="1:39" x14ac:dyDescent="0.2">
      <c r="A538" s="11"/>
      <c r="B538" s="11"/>
      <c r="C538" s="5"/>
      <c r="D538" s="61"/>
      <c r="E538" s="5"/>
      <c r="F538" s="5"/>
      <c r="G538" s="5"/>
      <c r="H538" s="28"/>
      <c r="I538" s="61" t="s">
        <v>331</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23"/>
    </row>
    <row r="539" spans="1:39" x14ac:dyDescent="0.2">
      <c r="A539" s="11"/>
      <c r="B539" s="11"/>
      <c r="C539" s="5"/>
      <c r="D539" s="61"/>
      <c r="E539" s="5"/>
      <c r="F539" s="5"/>
      <c r="G539" s="5"/>
      <c r="H539" s="29"/>
      <c r="I539" s="61"/>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23"/>
    </row>
    <row r="540" spans="1:39" x14ac:dyDescent="0.2">
      <c r="A540" s="11"/>
      <c r="B540" s="11"/>
      <c r="C540" s="5"/>
      <c r="D540" s="61"/>
      <c r="E540" s="61" t="s">
        <v>332</v>
      </c>
      <c r="F540" s="5"/>
      <c r="G540" s="5"/>
      <c r="H540" s="29"/>
      <c r="I540" s="169"/>
      <c r="J540" s="169"/>
      <c r="K540" s="169"/>
      <c r="L540" s="169"/>
      <c r="M540" s="169"/>
      <c r="N540" s="169"/>
      <c r="O540" s="169"/>
      <c r="P540" s="5" t="s">
        <v>333</v>
      </c>
      <c r="Q540" s="5"/>
      <c r="R540" s="5"/>
      <c r="S540" s="5"/>
      <c r="T540" s="5"/>
      <c r="U540" s="5"/>
      <c r="V540" s="5"/>
      <c r="W540" s="5"/>
      <c r="X540" s="5"/>
      <c r="Y540" s="5"/>
      <c r="Z540" s="5"/>
      <c r="AA540" s="5"/>
      <c r="AB540" s="5"/>
      <c r="AC540" s="5"/>
      <c r="AD540" s="5"/>
      <c r="AE540" s="5"/>
      <c r="AF540" s="5"/>
      <c r="AG540" s="5"/>
      <c r="AH540" s="5"/>
      <c r="AI540" s="5"/>
      <c r="AJ540" s="5"/>
      <c r="AK540" s="5"/>
      <c r="AL540" s="5"/>
      <c r="AM540" s="23"/>
    </row>
    <row r="541" spans="1:39" x14ac:dyDescent="0.2">
      <c r="A541" s="11"/>
      <c r="B541" s="11"/>
      <c r="C541" s="5"/>
      <c r="D541" s="61"/>
      <c r="E541" s="5" t="s">
        <v>334</v>
      </c>
      <c r="F541" s="5"/>
      <c r="G541" s="5"/>
      <c r="H541" s="29"/>
      <c r="I541" s="169"/>
      <c r="J541" s="169"/>
      <c r="K541" s="169"/>
      <c r="L541" s="169"/>
      <c r="M541" s="169"/>
      <c r="N541" s="169"/>
      <c r="O541" s="169"/>
      <c r="P541" s="5" t="s">
        <v>335</v>
      </c>
      <c r="Q541" s="5"/>
      <c r="R541" s="5"/>
      <c r="S541" s="5"/>
      <c r="T541" s="5"/>
      <c r="U541" s="5"/>
      <c r="V541" s="5"/>
      <c r="W541" s="5"/>
      <c r="X541" s="5"/>
      <c r="Y541" s="5"/>
      <c r="Z541" s="5"/>
      <c r="AA541" s="5"/>
      <c r="AB541" s="5"/>
      <c r="AC541" s="5"/>
      <c r="AD541" s="5"/>
      <c r="AE541" s="5"/>
      <c r="AF541" s="5"/>
      <c r="AG541" s="5"/>
      <c r="AH541" s="5"/>
      <c r="AI541" s="5"/>
      <c r="AJ541" s="5"/>
      <c r="AK541" s="5"/>
      <c r="AL541" s="5"/>
      <c r="AM541" s="23"/>
    </row>
    <row r="542" spans="1:39" x14ac:dyDescent="0.2">
      <c r="A542" s="11"/>
      <c r="B542" s="11"/>
      <c r="C542" s="5"/>
      <c r="D542" s="61"/>
      <c r="E542" s="5" t="s">
        <v>336</v>
      </c>
      <c r="F542" s="5"/>
      <c r="G542" s="5"/>
      <c r="H542" s="29"/>
      <c r="I542" s="169"/>
      <c r="J542" s="169"/>
      <c r="K542" s="169"/>
      <c r="L542" s="169"/>
      <c r="M542" s="169"/>
      <c r="N542" s="169"/>
      <c r="O542" s="169"/>
      <c r="P542" s="5" t="s">
        <v>337</v>
      </c>
      <c r="Q542" s="5"/>
      <c r="R542" s="5"/>
      <c r="S542" s="5"/>
      <c r="T542" s="5"/>
      <c r="U542" s="5"/>
      <c r="V542" s="5"/>
      <c r="W542" s="5"/>
      <c r="X542" s="5"/>
      <c r="Y542" s="5"/>
      <c r="Z542" s="5"/>
      <c r="AA542" s="5"/>
      <c r="AB542" s="5"/>
      <c r="AC542" s="5"/>
      <c r="AD542" s="5"/>
      <c r="AE542" s="5"/>
      <c r="AF542" s="5"/>
      <c r="AG542" s="5"/>
      <c r="AH542" s="5"/>
      <c r="AI542" s="5"/>
      <c r="AJ542" s="5"/>
      <c r="AK542" s="5"/>
      <c r="AL542" s="5"/>
      <c r="AM542" s="23"/>
    </row>
    <row r="543" spans="1:39" x14ac:dyDescent="0.2">
      <c r="A543" s="11"/>
      <c r="B543" s="11"/>
      <c r="C543" s="5"/>
      <c r="D543" s="61"/>
      <c r="E543" s="5"/>
      <c r="F543" s="5"/>
      <c r="G543" s="5"/>
      <c r="H543" s="29"/>
      <c r="I543" s="61"/>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23"/>
    </row>
    <row r="544" spans="1:39" x14ac:dyDescent="0.2">
      <c r="A544" s="11"/>
      <c r="B544" s="11"/>
      <c r="C544" s="5"/>
      <c r="D544" s="61"/>
      <c r="E544" s="5"/>
      <c r="F544" s="5"/>
      <c r="G544" s="5"/>
      <c r="H544" s="29"/>
      <c r="I544" s="61"/>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23"/>
    </row>
    <row r="545" spans="1:39" x14ac:dyDescent="0.2">
      <c r="A545" s="11"/>
      <c r="B545" s="11"/>
      <c r="D545" s="29" t="s">
        <v>15</v>
      </c>
      <c r="E545" s="61" t="s">
        <v>338</v>
      </c>
      <c r="F545" s="5"/>
      <c r="G545" s="5"/>
      <c r="H545" s="5"/>
      <c r="I545" s="5"/>
      <c r="J545" s="5"/>
      <c r="K545" s="5"/>
      <c r="L545" s="5"/>
      <c r="M545" s="5"/>
      <c r="N545" s="5"/>
      <c r="O545" s="5"/>
      <c r="P545" s="130"/>
      <c r="Q545" s="131"/>
      <c r="R545" s="131"/>
      <c r="S545" s="132"/>
      <c r="T545" s="29"/>
      <c r="U545" s="5"/>
      <c r="V545" s="5"/>
      <c r="W545" s="5"/>
      <c r="X545" s="5"/>
      <c r="Y545" s="5"/>
      <c r="Z545" s="5"/>
      <c r="AA545" s="5"/>
      <c r="AB545" s="5"/>
      <c r="AC545" s="5"/>
      <c r="AD545" s="5"/>
      <c r="AE545" s="5"/>
      <c r="AF545" s="5"/>
      <c r="AG545" s="5"/>
      <c r="AH545" s="5"/>
      <c r="AI545" s="5"/>
      <c r="AJ545" s="5"/>
      <c r="AK545" s="5"/>
      <c r="AL545" s="5"/>
      <c r="AM545" s="23"/>
    </row>
    <row r="546" spans="1:39" x14ac:dyDescent="0.2">
      <c r="A546" s="11"/>
      <c r="B546" s="11"/>
      <c r="D546" s="29"/>
      <c r="E546" s="61"/>
      <c r="F546" s="5"/>
      <c r="G546" s="5"/>
      <c r="H546" s="5"/>
      <c r="I546" s="5"/>
      <c r="J546" s="5"/>
      <c r="K546" s="5"/>
      <c r="L546" s="5"/>
      <c r="M546" s="5"/>
      <c r="N546" s="5"/>
      <c r="O546" s="5"/>
      <c r="P546" s="162"/>
      <c r="Q546" s="167"/>
      <c r="R546" s="167"/>
      <c r="S546" s="168"/>
      <c r="T546" s="29"/>
      <c r="U546" s="5"/>
      <c r="V546" s="5"/>
      <c r="W546" s="5"/>
      <c r="X546" s="5"/>
      <c r="Y546" s="5"/>
      <c r="Z546" s="5"/>
      <c r="AA546" s="5"/>
      <c r="AB546" s="5"/>
      <c r="AC546" s="5"/>
      <c r="AD546" s="5"/>
      <c r="AE546" s="5"/>
      <c r="AF546" s="5"/>
      <c r="AG546" s="5"/>
      <c r="AH546" s="5"/>
      <c r="AI546" s="5"/>
      <c r="AJ546" s="5"/>
      <c r="AK546" s="5"/>
      <c r="AL546" s="5"/>
      <c r="AM546" s="23"/>
    </row>
    <row r="547" spans="1:39" x14ac:dyDescent="0.2">
      <c r="A547" s="11"/>
      <c r="B547" s="11"/>
      <c r="D547" s="29"/>
      <c r="E547" s="61"/>
      <c r="F547" s="5"/>
      <c r="G547" s="5"/>
      <c r="H547" s="5"/>
      <c r="I547" s="5"/>
      <c r="J547" s="5"/>
      <c r="K547" s="5"/>
      <c r="L547" s="5"/>
      <c r="M547" s="5"/>
      <c r="N547" s="5"/>
      <c r="O547" s="5"/>
      <c r="P547" s="130"/>
      <c r="Q547" s="131"/>
      <c r="R547" s="131"/>
      <c r="S547" s="132"/>
      <c r="T547" s="29"/>
      <c r="U547" s="5"/>
      <c r="V547" s="5"/>
      <c r="W547" s="5"/>
      <c r="X547" s="5"/>
      <c r="Y547" s="5"/>
      <c r="Z547" s="5"/>
      <c r="AA547" s="5"/>
      <c r="AB547" s="5"/>
      <c r="AC547" s="5"/>
      <c r="AD547" s="5"/>
      <c r="AE547" s="5"/>
      <c r="AF547" s="5"/>
      <c r="AG547" s="5"/>
      <c r="AH547" s="5"/>
      <c r="AI547" s="5"/>
      <c r="AJ547" s="5"/>
      <c r="AK547" s="5"/>
      <c r="AL547" s="5"/>
      <c r="AM547" s="23"/>
    </row>
    <row r="548" spans="1:39" x14ac:dyDescent="0.2">
      <c r="A548" s="11"/>
      <c r="B548" s="11"/>
      <c r="D548" s="29"/>
      <c r="E548" s="61"/>
      <c r="F548" s="5"/>
      <c r="G548" s="5"/>
      <c r="H548" s="5"/>
      <c r="I548" s="5"/>
      <c r="J548" s="5"/>
      <c r="K548" s="5"/>
      <c r="L548" s="5"/>
      <c r="M548" s="5"/>
      <c r="N548" s="5"/>
      <c r="O548" s="5"/>
      <c r="P548" s="162"/>
      <c r="Q548" s="167"/>
      <c r="R548" s="167"/>
      <c r="S548" s="168"/>
      <c r="T548" s="29"/>
      <c r="U548" s="5"/>
      <c r="V548" s="5"/>
      <c r="W548" s="5"/>
      <c r="X548" s="5"/>
      <c r="Y548" s="5"/>
      <c r="Z548" s="5"/>
      <c r="AA548" s="5"/>
      <c r="AB548" s="5"/>
      <c r="AC548" s="5"/>
      <c r="AD548" s="5"/>
      <c r="AE548" s="5"/>
      <c r="AF548" s="5"/>
      <c r="AG548" s="5"/>
      <c r="AH548" s="5"/>
      <c r="AI548" s="5"/>
      <c r="AJ548" s="5"/>
      <c r="AK548" s="5"/>
      <c r="AL548" s="5"/>
      <c r="AM548" s="23"/>
    </row>
    <row r="549" spans="1:39" x14ac:dyDescent="0.2">
      <c r="A549" s="11"/>
      <c r="B549" s="11"/>
      <c r="D549" s="29"/>
      <c r="E549" s="61"/>
      <c r="F549" s="5"/>
      <c r="G549" s="5"/>
      <c r="H549" s="5"/>
      <c r="I549" s="5"/>
      <c r="J549" s="5"/>
      <c r="K549" s="5"/>
      <c r="L549" s="5"/>
      <c r="M549" s="5"/>
      <c r="N549" s="5"/>
      <c r="O549" s="5"/>
      <c r="P549" s="130"/>
      <c r="Q549" s="131"/>
      <c r="R549" s="131"/>
      <c r="S549" s="132"/>
      <c r="T549" s="29"/>
      <c r="U549" s="5"/>
      <c r="V549" s="5"/>
      <c r="W549" s="5"/>
      <c r="X549" s="5"/>
      <c r="Y549" s="5"/>
      <c r="Z549" s="5"/>
      <c r="AA549" s="5"/>
      <c r="AB549" s="5"/>
      <c r="AC549" s="5"/>
      <c r="AD549" s="5"/>
      <c r="AE549" s="5"/>
      <c r="AF549" s="5"/>
      <c r="AG549" s="5"/>
      <c r="AH549" s="5"/>
      <c r="AI549" s="5"/>
      <c r="AJ549" s="5"/>
      <c r="AK549" s="5"/>
      <c r="AL549" s="5"/>
      <c r="AM549" s="23"/>
    </row>
    <row r="550" spans="1:39" x14ac:dyDescent="0.2">
      <c r="A550" s="11"/>
      <c r="B550" s="11"/>
      <c r="D550" s="29"/>
      <c r="E550" s="61"/>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23"/>
    </row>
    <row r="551" spans="1:39" x14ac:dyDescent="0.2">
      <c r="A551" s="11"/>
      <c r="B551" s="11"/>
      <c r="D551" s="29" t="s">
        <v>15</v>
      </c>
      <c r="E551" s="61" t="s">
        <v>339</v>
      </c>
      <c r="F551" s="5"/>
      <c r="G551" s="5"/>
      <c r="H551" s="5"/>
      <c r="I551" s="5"/>
      <c r="J551" s="5"/>
      <c r="K551" s="5"/>
      <c r="L551" s="5"/>
      <c r="M551" s="5"/>
      <c r="N551" s="5"/>
      <c r="O551" s="5"/>
      <c r="P551" s="127"/>
      <c r="Q551" s="127"/>
      <c r="R551" s="127"/>
      <c r="S551" s="127"/>
      <c r="T551" s="127"/>
      <c r="U551" s="127"/>
      <c r="V551" s="127"/>
      <c r="W551" s="127"/>
      <c r="X551" s="127"/>
      <c r="Y551" s="5"/>
      <c r="Z551" s="5"/>
      <c r="AA551" s="5"/>
      <c r="AB551" s="5"/>
      <c r="AC551" s="5"/>
      <c r="AD551" s="5"/>
      <c r="AE551" s="5"/>
      <c r="AF551" s="5"/>
      <c r="AG551" s="5"/>
      <c r="AH551" s="5"/>
      <c r="AI551" s="5"/>
      <c r="AJ551" s="5"/>
      <c r="AK551" s="5"/>
      <c r="AL551" s="5"/>
      <c r="AM551" s="23"/>
    </row>
    <row r="552" spans="1:39" x14ac:dyDescent="0.2">
      <c r="A552" s="11"/>
      <c r="B552" s="11"/>
      <c r="D552" s="29"/>
      <c r="E552" s="61"/>
      <c r="F552" s="5"/>
      <c r="G552" s="5"/>
      <c r="H552" s="5"/>
      <c r="I552" s="5"/>
      <c r="J552" s="5"/>
      <c r="K552" s="5"/>
      <c r="L552" s="5"/>
      <c r="M552" s="5"/>
      <c r="N552" s="5"/>
      <c r="O552" s="5"/>
      <c r="P552" s="127"/>
      <c r="Q552" s="127"/>
      <c r="R552" s="127"/>
      <c r="S552" s="127"/>
      <c r="T552" s="127"/>
      <c r="U552" s="127"/>
      <c r="V552" s="127"/>
      <c r="W552" s="127"/>
      <c r="X552" s="127"/>
      <c r="Y552" s="5"/>
      <c r="Z552" s="5"/>
      <c r="AA552" s="5"/>
      <c r="AB552" s="5"/>
      <c r="AC552" s="5"/>
      <c r="AD552" s="5"/>
      <c r="AE552" s="5"/>
      <c r="AF552" s="5"/>
      <c r="AG552" s="5"/>
      <c r="AH552" s="5"/>
      <c r="AI552" s="5"/>
      <c r="AJ552" s="5"/>
      <c r="AK552" s="5"/>
      <c r="AL552" s="5"/>
      <c r="AM552" s="23"/>
    </row>
    <row r="553" spans="1:39" x14ac:dyDescent="0.2">
      <c r="A553" s="11"/>
      <c r="B553" s="11"/>
      <c r="D553" s="29"/>
      <c r="E553" s="61"/>
      <c r="F553" s="5"/>
      <c r="G553" s="5"/>
      <c r="H553" s="5"/>
      <c r="I553" s="5"/>
      <c r="J553" s="5"/>
      <c r="K553" s="5"/>
      <c r="L553" s="5"/>
      <c r="M553" s="5"/>
      <c r="N553" s="5"/>
      <c r="O553" s="5"/>
      <c r="P553" s="127"/>
      <c r="Q553" s="127"/>
      <c r="R553" s="127"/>
      <c r="S553" s="127"/>
      <c r="T553" s="127"/>
      <c r="U553" s="127"/>
      <c r="V553" s="127"/>
      <c r="W553" s="127"/>
      <c r="X553" s="127"/>
      <c r="Y553" s="5"/>
      <c r="Z553" s="5"/>
      <c r="AA553" s="5"/>
      <c r="AB553" s="5"/>
      <c r="AC553" s="5"/>
      <c r="AD553" s="5"/>
      <c r="AE553" s="5"/>
      <c r="AF553" s="5"/>
      <c r="AG553" s="5"/>
      <c r="AH553" s="5"/>
      <c r="AI553" s="5"/>
      <c r="AJ553" s="5"/>
      <c r="AK553" s="5"/>
      <c r="AL553" s="5"/>
      <c r="AM553" s="23"/>
    </row>
    <row r="554" spans="1:39" x14ac:dyDescent="0.2">
      <c r="A554" s="11"/>
      <c r="B554" s="11"/>
      <c r="D554" s="29"/>
      <c r="E554" s="61"/>
      <c r="F554" s="5"/>
      <c r="G554" s="5"/>
      <c r="H554" s="5"/>
      <c r="I554" s="5"/>
      <c r="J554" s="5"/>
      <c r="K554" s="5"/>
      <c r="L554" s="5"/>
      <c r="M554" s="5"/>
      <c r="N554" s="5"/>
      <c r="O554" s="5"/>
      <c r="P554" s="127"/>
      <c r="Q554" s="127"/>
      <c r="R554" s="127"/>
      <c r="S554" s="127"/>
      <c r="T554" s="127"/>
      <c r="U554" s="127"/>
      <c r="V554" s="127"/>
      <c r="W554" s="127"/>
      <c r="X554" s="127"/>
      <c r="Y554" s="5"/>
      <c r="Z554" s="5"/>
      <c r="AA554" s="5"/>
      <c r="AB554" s="5"/>
      <c r="AC554" s="5"/>
      <c r="AD554" s="5"/>
      <c r="AE554" s="5"/>
      <c r="AF554" s="5"/>
      <c r="AG554" s="5"/>
      <c r="AH554" s="5"/>
      <c r="AI554" s="5"/>
      <c r="AJ554" s="5"/>
      <c r="AK554" s="5"/>
      <c r="AL554" s="5"/>
      <c r="AM554" s="23"/>
    </row>
    <row r="555" spans="1:39" x14ac:dyDescent="0.2">
      <c r="A555" s="11"/>
      <c r="B555" s="11"/>
      <c r="D555" s="29"/>
      <c r="E555" s="61"/>
      <c r="F555" s="5"/>
      <c r="G555" s="5"/>
      <c r="H555" s="5"/>
      <c r="I555" s="5"/>
      <c r="J555" s="5"/>
      <c r="K555" s="5"/>
      <c r="L555" s="5"/>
      <c r="M555" s="5"/>
      <c r="N555" s="5"/>
      <c r="O555" s="5"/>
      <c r="P555" s="127"/>
      <c r="Q555" s="127"/>
      <c r="R555" s="127"/>
      <c r="S555" s="127"/>
      <c r="T555" s="127"/>
      <c r="U555" s="127"/>
      <c r="V555" s="127"/>
      <c r="W555" s="127"/>
      <c r="X555" s="127"/>
      <c r="Y555" s="5"/>
      <c r="Z555" s="5"/>
      <c r="AA555" s="5"/>
      <c r="AB555" s="5"/>
      <c r="AC555" s="5"/>
      <c r="AD555" s="5"/>
      <c r="AE555" s="5"/>
      <c r="AF555" s="5"/>
      <c r="AG555" s="5"/>
      <c r="AH555" s="5"/>
      <c r="AI555" s="5"/>
      <c r="AJ555" s="5"/>
      <c r="AK555" s="5"/>
      <c r="AL555" s="5"/>
      <c r="AM555" s="23"/>
    </row>
    <row r="556" spans="1:39" x14ac:dyDescent="0.2">
      <c r="A556" s="11"/>
      <c r="B556" s="11"/>
      <c r="D556" s="29"/>
      <c r="E556" s="61"/>
      <c r="F556" s="5"/>
      <c r="G556" s="5"/>
      <c r="H556" s="5"/>
      <c r="I556" s="5"/>
      <c r="J556" s="5"/>
      <c r="K556" s="5"/>
      <c r="L556" s="5"/>
      <c r="M556" s="5"/>
      <c r="N556" s="5"/>
      <c r="O556" s="5"/>
      <c r="P556" s="5"/>
      <c r="Q556" s="5"/>
      <c r="R556" s="5"/>
      <c r="S556" s="5"/>
      <c r="T556" s="29"/>
      <c r="U556" s="5"/>
      <c r="V556" s="5"/>
      <c r="W556" s="5"/>
      <c r="X556" s="5"/>
      <c r="Y556" s="5"/>
      <c r="Z556" s="5"/>
      <c r="AA556" s="5"/>
      <c r="AB556" s="5"/>
      <c r="AC556" s="5"/>
      <c r="AD556" s="5"/>
      <c r="AE556" s="5"/>
      <c r="AF556" s="5"/>
      <c r="AG556" s="5"/>
      <c r="AH556" s="5"/>
      <c r="AI556" s="5"/>
      <c r="AJ556" s="5"/>
      <c r="AK556" s="5"/>
      <c r="AL556" s="5"/>
      <c r="AM556" s="23"/>
    </row>
    <row r="557" spans="1:39" x14ac:dyDescent="0.2">
      <c r="A557" s="11"/>
      <c r="B557" s="11"/>
      <c r="D557" s="29" t="s">
        <v>15</v>
      </c>
      <c r="E557" s="61" t="s">
        <v>340</v>
      </c>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23"/>
    </row>
    <row r="558" spans="1:39" x14ac:dyDescent="0.2">
      <c r="A558" s="11"/>
      <c r="B558" s="11"/>
      <c r="D558" s="5"/>
      <c r="E558" s="5"/>
      <c r="F558" s="5"/>
      <c r="G558" s="5"/>
      <c r="H558" s="27" t="s">
        <v>9</v>
      </c>
      <c r="I558" s="61" t="s">
        <v>27</v>
      </c>
      <c r="J558" s="5" t="s">
        <v>68</v>
      </c>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23"/>
    </row>
    <row r="559" spans="1:39" x14ac:dyDescent="0.2">
      <c r="A559" s="11"/>
      <c r="B559" s="11"/>
      <c r="D559" s="5"/>
      <c r="E559" s="5"/>
      <c r="F559" s="5"/>
      <c r="G559" s="5"/>
      <c r="H559" s="28"/>
      <c r="I559" s="5" t="s">
        <v>25</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23"/>
    </row>
    <row r="560" spans="1:39" x14ac:dyDescent="0.2">
      <c r="A560" s="11"/>
      <c r="B560" s="11"/>
      <c r="D560" s="5"/>
      <c r="E560" s="5"/>
      <c r="F560" s="5"/>
      <c r="G560" s="5"/>
      <c r="H560" s="5"/>
      <c r="I560" s="29" t="s">
        <v>15</v>
      </c>
      <c r="J560" s="61" t="s">
        <v>341</v>
      </c>
      <c r="K560" s="5"/>
      <c r="L560" s="5"/>
      <c r="M560" s="5"/>
      <c r="N560" s="5"/>
      <c r="O560" s="5"/>
      <c r="Q560" s="130"/>
      <c r="R560" s="131"/>
      <c r="S560" s="131"/>
      <c r="T560" s="132"/>
      <c r="U560" s="5"/>
      <c r="V560" s="5" t="s">
        <v>342</v>
      </c>
      <c r="W560" s="5"/>
      <c r="X560" s="5"/>
      <c r="Y560" s="127"/>
      <c r="Z560" s="127"/>
      <c r="AA560" s="127"/>
      <c r="AB560" s="127"/>
      <c r="AC560" s="127"/>
      <c r="AD560" s="127"/>
      <c r="AE560" s="127"/>
      <c r="AF560" s="127"/>
      <c r="AG560" s="127"/>
      <c r="AH560" s="5"/>
      <c r="AI560" s="5"/>
      <c r="AJ560" s="5"/>
      <c r="AK560" s="5"/>
      <c r="AL560" s="5"/>
      <c r="AM560" s="23"/>
    </row>
    <row r="561" spans="1:39" x14ac:dyDescent="0.2">
      <c r="A561" s="11"/>
      <c r="B561" s="11"/>
      <c r="D561" s="5"/>
      <c r="E561" s="5"/>
      <c r="F561" s="5"/>
      <c r="G561" s="5"/>
      <c r="H561" s="5"/>
      <c r="I561" s="29"/>
      <c r="J561" s="61"/>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23"/>
    </row>
    <row r="562" spans="1:39" x14ac:dyDescent="0.2">
      <c r="A562" s="11"/>
      <c r="B562" s="11"/>
      <c r="C562" s="5"/>
      <c r="I562" s="29" t="s">
        <v>15</v>
      </c>
      <c r="J562" s="61" t="s">
        <v>325</v>
      </c>
      <c r="K562" s="5"/>
      <c r="L562" s="5"/>
      <c r="M562" s="27"/>
      <c r="N562" s="61" t="s">
        <v>326</v>
      </c>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23"/>
    </row>
    <row r="563" spans="1:39" x14ac:dyDescent="0.2">
      <c r="A563" s="11"/>
      <c r="B563" s="11"/>
      <c r="C563" s="5"/>
      <c r="I563" s="61"/>
      <c r="J563" s="5"/>
      <c r="K563" s="5"/>
      <c r="L563" s="5"/>
      <c r="M563" s="28"/>
      <c r="N563" s="5" t="s">
        <v>327</v>
      </c>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23"/>
    </row>
    <row r="564" spans="1:39" x14ac:dyDescent="0.2">
      <c r="A564" s="11"/>
      <c r="B564" s="11"/>
      <c r="C564" s="5"/>
      <c r="I564" s="61"/>
      <c r="J564" s="5"/>
      <c r="K564" s="5"/>
      <c r="L564" s="5"/>
      <c r="M564" s="29"/>
      <c r="N564" s="61"/>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23"/>
    </row>
    <row r="565" spans="1:39" x14ac:dyDescent="0.2">
      <c r="A565" s="11"/>
      <c r="B565" s="11"/>
      <c r="C565" s="5"/>
      <c r="I565" s="61"/>
      <c r="J565" s="61" t="s">
        <v>328</v>
      </c>
      <c r="K565" s="5"/>
      <c r="L565" s="5"/>
      <c r="M565" s="27"/>
      <c r="N565" s="61" t="s">
        <v>329</v>
      </c>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23"/>
    </row>
    <row r="566" spans="1:39" x14ac:dyDescent="0.2">
      <c r="A566" s="11"/>
      <c r="B566" s="11"/>
      <c r="C566" s="5"/>
      <c r="I566" s="61"/>
      <c r="J566" s="5"/>
      <c r="K566" s="5"/>
      <c r="L566" s="5"/>
      <c r="M566" s="28"/>
      <c r="N566" s="5" t="s">
        <v>330</v>
      </c>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23"/>
    </row>
    <row r="567" spans="1:39" x14ac:dyDescent="0.2">
      <c r="A567" s="11"/>
      <c r="B567" s="11"/>
      <c r="C567" s="5"/>
      <c r="I567" s="61"/>
      <c r="J567" s="5"/>
      <c r="K567" s="5"/>
      <c r="L567" s="5"/>
      <c r="M567" s="28"/>
      <c r="N567" s="61" t="s">
        <v>331</v>
      </c>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23"/>
    </row>
    <row r="568" spans="1:39" x14ac:dyDescent="0.2">
      <c r="A568" s="11"/>
      <c r="B568" s="11"/>
      <c r="C568" s="5"/>
      <c r="I568" s="61"/>
      <c r="J568" s="5"/>
      <c r="K568" s="5"/>
      <c r="L568" s="5"/>
      <c r="M568" s="29"/>
      <c r="N568" s="61"/>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23"/>
    </row>
    <row r="569" spans="1:39" x14ac:dyDescent="0.2">
      <c r="A569" s="11"/>
      <c r="B569" s="11"/>
      <c r="C569" s="5"/>
      <c r="I569" s="61"/>
      <c r="J569" s="61" t="s">
        <v>332</v>
      </c>
      <c r="K569" s="5"/>
      <c r="L569" s="5"/>
      <c r="M569" s="29"/>
      <c r="N569" s="169"/>
      <c r="O569" s="169"/>
      <c r="P569" s="169"/>
      <c r="Q569" s="169"/>
      <c r="R569" s="169"/>
      <c r="S569" s="169"/>
      <c r="T569" s="169"/>
      <c r="U569" s="5" t="s">
        <v>333</v>
      </c>
      <c r="V569" s="5"/>
      <c r="W569" s="5"/>
      <c r="X569" s="5"/>
      <c r="Y569" s="5"/>
      <c r="Z569" s="5"/>
      <c r="AA569" s="5"/>
      <c r="AB569" s="5"/>
      <c r="AC569" s="5"/>
      <c r="AD569" s="5"/>
      <c r="AE569" s="5"/>
      <c r="AF569" s="5"/>
      <c r="AG569" s="5"/>
      <c r="AH569" s="5"/>
      <c r="AI569" s="5"/>
      <c r="AJ569" s="5"/>
      <c r="AK569" s="5"/>
      <c r="AL569" s="5"/>
      <c r="AM569" s="23"/>
    </row>
    <row r="570" spans="1:39" x14ac:dyDescent="0.2">
      <c r="A570" s="11"/>
      <c r="B570" s="11"/>
      <c r="C570" s="5"/>
      <c r="I570" s="61"/>
      <c r="J570" s="5" t="s">
        <v>334</v>
      </c>
      <c r="K570" s="5"/>
      <c r="L570" s="5"/>
      <c r="M570" s="29"/>
      <c r="N570" s="170"/>
      <c r="O570" s="170"/>
      <c r="P570" s="170"/>
      <c r="Q570" s="170"/>
      <c r="R570" s="170"/>
      <c r="S570" s="170"/>
      <c r="T570" s="170"/>
      <c r="U570" s="5" t="s">
        <v>335</v>
      </c>
      <c r="V570" s="5"/>
      <c r="W570" s="5"/>
      <c r="X570" s="5"/>
      <c r="Y570" s="5"/>
      <c r="Z570" s="5"/>
      <c r="AA570" s="5"/>
      <c r="AB570" s="5"/>
      <c r="AC570" s="5"/>
      <c r="AD570" s="5"/>
      <c r="AE570" s="5"/>
      <c r="AF570" s="5"/>
      <c r="AG570" s="5"/>
      <c r="AH570" s="5"/>
      <c r="AI570" s="5"/>
      <c r="AJ570" s="5"/>
      <c r="AK570" s="5"/>
      <c r="AL570" s="5"/>
      <c r="AM570" s="23"/>
    </row>
    <row r="571" spans="1:39" x14ac:dyDescent="0.2">
      <c r="A571" s="11"/>
      <c r="B571" s="11"/>
      <c r="C571" s="5"/>
      <c r="I571" s="61"/>
      <c r="J571" s="5" t="s">
        <v>336</v>
      </c>
      <c r="K571" s="5"/>
      <c r="L571" s="5"/>
      <c r="M571" s="29"/>
      <c r="N571" s="170"/>
      <c r="O571" s="170"/>
      <c r="P571" s="170"/>
      <c r="Q571" s="170"/>
      <c r="R571" s="170"/>
      <c r="S571" s="170"/>
      <c r="T571" s="170"/>
      <c r="U571" s="5" t="s">
        <v>337</v>
      </c>
      <c r="V571" s="5"/>
      <c r="W571" s="5"/>
      <c r="X571" s="5"/>
      <c r="Y571" s="5"/>
      <c r="Z571" s="5"/>
      <c r="AA571" s="5"/>
      <c r="AB571" s="5"/>
      <c r="AC571" s="5"/>
      <c r="AD571" s="5"/>
      <c r="AE571" s="5"/>
      <c r="AF571" s="5"/>
      <c r="AG571" s="5"/>
      <c r="AH571" s="5"/>
      <c r="AI571" s="5"/>
      <c r="AJ571" s="5"/>
      <c r="AK571" s="5"/>
      <c r="AL571" s="5"/>
      <c r="AM571" s="23"/>
    </row>
    <row r="572" spans="1:39" x14ac:dyDescent="0.2">
      <c r="A572" s="11"/>
      <c r="B572" s="11"/>
      <c r="C572" s="61"/>
      <c r="D572" s="61"/>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23"/>
    </row>
    <row r="573" spans="1:39" x14ac:dyDescent="0.2">
      <c r="A573" s="11"/>
      <c r="B573" s="11"/>
      <c r="C573" s="134" t="s">
        <v>343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23"/>
    </row>
    <row r="574" spans="1:39" x14ac:dyDescent="0.2">
      <c r="A574" s="11"/>
      <c r="B574" s="11"/>
      <c r="C574" s="39" t="s">
        <v>25</v>
      </c>
      <c r="D574" s="27"/>
      <c r="E574" s="39" t="str">
        <f>IF(D574&lt;&gt;"","Please check the ‘+’ icon to the left and provide the necessary information","")</f>
        <v/>
      </c>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23"/>
    </row>
    <row r="575" spans="1:39" x14ac:dyDescent="0.2">
      <c r="A575" s="11"/>
      <c r="B575" s="11"/>
      <c r="C575" s="39" t="s">
        <v>27</v>
      </c>
      <c r="D575" s="28" t="s">
        <v>9</v>
      </c>
      <c r="E575" s="41"/>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23"/>
    </row>
    <row r="576" spans="1:39" x14ac:dyDescent="0.2">
      <c r="A576" s="11"/>
      <c r="B576" s="11"/>
      <c r="C576" s="67"/>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23"/>
    </row>
    <row r="577" spans="1:39" x14ac:dyDescent="0.2">
      <c r="A577" s="11"/>
      <c r="B577" s="11"/>
      <c r="C577" s="29" t="s">
        <v>15</v>
      </c>
      <c r="D577" s="27"/>
      <c r="E577" s="7" t="s">
        <v>344</v>
      </c>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23"/>
    </row>
    <row r="578" spans="1:39" x14ac:dyDescent="0.2">
      <c r="A578" s="11"/>
      <c r="B578" s="11"/>
      <c r="C578" s="67"/>
      <c r="D578" s="27"/>
      <c r="E578" s="7" t="s">
        <v>345</v>
      </c>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23"/>
    </row>
    <row r="579" spans="1:39" x14ac:dyDescent="0.2">
      <c r="A579" s="11"/>
      <c r="B579" s="11"/>
      <c r="C579" s="67"/>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23"/>
    </row>
    <row r="580" spans="1:39" x14ac:dyDescent="0.2">
      <c r="A580" s="11"/>
      <c r="B580" s="11"/>
      <c r="C580" s="29" t="s">
        <v>15</v>
      </c>
      <c r="D580" s="5" t="s">
        <v>346</v>
      </c>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23"/>
    </row>
    <row r="581" spans="1:39" x14ac:dyDescent="0.2">
      <c r="A581" s="11"/>
      <c r="B581" s="11"/>
      <c r="C581" s="67"/>
      <c r="D581" s="5" t="s">
        <v>347</v>
      </c>
      <c r="E581" s="5"/>
      <c r="G581" s="176"/>
      <c r="H581" s="177"/>
      <c r="I581" s="177"/>
      <c r="J581" s="178"/>
      <c r="K581" s="179"/>
      <c r="L581" s="179"/>
      <c r="M581" s="179"/>
      <c r="N581" s="179"/>
      <c r="O581" s="179"/>
      <c r="P581" s="5"/>
      <c r="Q581" s="5"/>
      <c r="R581" s="5"/>
      <c r="S581" s="5"/>
      <c r="T581" s="5"/>
      <c r="U581" s="5"/>
      <c r="V581" s="5"/>
      <c r="W581" s="5"/>
      <c r="X581" s="5"/>
      <c r="Y581" s="5"/>
      <c r="Z581" s="5"/>
      <c r="AA581" s="5"/>
      <c r="AB581" s="5"/>
      <c r="AC581" s="5"/>
      <c r="AD581" s="5"/>
      <c r="AE581" s="5"/>
      <c r="AF581" s="5"/>
      <c r="AG581" s="5"/>
      <c r="AH581" s="5"/>
      <c r="AI581" s="5"/>
      <c r="AJ581" s="5"/>
      <c r="AK581" s="5"/>
      <c r="AL581" s="5"/>
      <c r="AM581" s="23"/>
    </row>
    <row r="582" spans="1:39" x14ac:dyDescent="0.2">
      <c r="A582" s="11"/>
      <c r="B582" s="11"/>
      <c r="C582" s="67"/>
      <c r="D582" s="5" t="s">
        <v>342</v>
      </c>
      <c r="E582" s="5"/>
      <c r="G582" s="180"/>
      <c r="H582" s="180"/>
      <c r="I582" s="180"/>
      <c r="J582" s="180"/>
      <c r="K582" s="180"/>
      <c r="L582" s="180"/>
      <c r="M582" s="180"/>
      <c r="N582" s="180"/>
      <c r="O582" s="180"/>
      <c r="P582" s="5"/>
      <c r="Q582" s="5"/>
      <c r="R582" s="5"/>
      <c r="S582" s="5"/>
      <c r="T582" s="5"/>
      <c r="U582" s="5"/>
      <c r="V582" s="5"/>
      <c r="W582" s="5"/>
      <c r="X582" s="5"/>
      <c r="Y582" s="5"/>
      <c r="Z582" s="5"/>
      <c r="AA582" s="5"/>
      <c r="AB582" s="5"/>
      <c r="AC582" s="5"/>
      <c r="AD582" s="5"/>
      <c r="AE582" s="5"/>
      <c r="AF582" s="5"/>
      <c r="AG582" s="5"/>
      <c r="AH582" s="5"/>
      <c r="AI582" s="5"/>
      <c r="AJ582" s="5"/>
      <c r="AK582" s="5"/>
      <c r="AL582" s="5"/>
      <c r="AM582" s="23"/>
    </row>
    <row r="583" spans="1:39" x14ac:dyDescent="0.2">
      <c r="A583" s="11"/>
      <c r="B583" s="11"/>
      <c r="C583" s="67"/>
      <c r="D583" s="5" t="s">
        <v>348</v>
      </c>
      <c r="E583" s="5"/>
      <c r="F583" s="5"/>
      <c r="G583" s="27"/>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23"/>
    </row>
    <row r="584" spans="1:39" x14ac:dyDescent="0.2">
      <c r="A584" s="11"/>
      <c r="B584" s="11"/>
      <c r="C584" s="67"/>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23"/>
    </row>
    <row r="585" spans="1:39" x14ac:dyDescent="0.2">
      <c r="A585" s="11"/>
      <c r="B585" s="11"/>
      <c r="C585" s="61"/>
      <c r="D585" s="61"/>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23"/>
    </row>
    <row r="586" spans="1:39" x14ac:dyDescent="0.2">
      <c r="A586" s="11"/>
      <c r="B586" s="11"/>
      <c r="C586" s="61"/>
      <c r="D586" s="61"/>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23"/>
    </row>
    <row r="587" spans="1:39" x14ac:dyDescent="0.2">
      <c r="A587" s="11"/>
      <c r="B587" s="11"/>
      <c r="C587" s="134" t="s">
        <v>349</v>
      </c>
      <c r="D587" s="61"/>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23"/>
    </row>
    <row r="588" spans="1:39" x14ac:dyDescent="0.2">
      <c r="A588" s="11"/>
      <c r="B588" s="11"/>
      <c r="C588" s="181" t="s">
        <v>27</v>
      </c>
      <c r="D588" s="27" t="s">
        <v>9</v>
      </c>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23"/>
    </row>
    <row r="589" spans="1:39" x14ac:dyDescent="0.2">
      <c r="A589" s="11"/>
      <c r="B589" s="11"/>
      <c r="C589" s="181" t="s">
        <v>350</v>
      </c>
      <c r="D589" s="28"/>
      <c r="E589" s="39" t="str">
        <f>IF(D589&lt;&gt;"","Please fill in the SR number:","")</f>
        <v/>
      </c>
      <c r="F589" s="5"/>
      <c r="G589" s="5"/>
      <c r="H589" s="5"/>
      <c r="I589" s="5"/>
      <c r="J589" s="5"/>
      <c r="K589" s="5"/>
      <c r="L589" s="5"/>
      <c r="M589" s="169"/>
      <c r="N589" s="169"/>
      <c r="O589" s="169"/>
      <c r="P589" s="39"/>
      <c r="Q589" s="5"/>
      <c r="R589" s="5"/>
      <c r="S589" s="5"/>
      <c r="T589" s="5"/>
      <c r="U589" s="5"/>
      <c r="V589" s="5"/>
      <c r="W589" s="5"/>
      <c r="X589" s="5"/>
      <c r="Y589" s="5"/>
      <c r="Z589" s="5"/>
      <c r="AA589" s="5"/>
      <c r="AB589" s="5"/>
      <c r="AC589" s="5"/>
      <c r="AD589" s="5"/>
      <c r="AE589" s="5"/>
      <c r="AF589" s="5"/>
      <c r="AG589" s="5"/>
      <c r="AH589" s="5"/>
      <c r="AI589" s="5"/>
      <c r="AJ589" s="5"/>
      <c r="AK589" s="5"/>
      <c r="AL589" s="5"/>
      <c r="AM589" s="23"/>
    </row>
    <row r="590" spans="1:39" x14ac:dyDescent="0.2">
      <c r="A590" s="11"/>
      <c r="B590" s="11"/>
      <c r="C590" s="181" t="s">
        <v>351</v>
      </c>
      <c r="D590" s="28"/>
      <c r="E590" s="39" t="str">
        <f>IF(D590&lt;&gt;"","Please fill in the SR number:","")</f>
        <v/>
      </c>
      <c r="F590" s="5"/>
      <c r="G590" s="5"/>
      <c r="H590" s="5"/>
      <c r="I590" s="5"/>
      <c r="J590" s="5"/>
      <c r="K590" s="5"/>
      <c r="L590" s="5"/>
      <c r="M590" s="169"/>
      <c r="N590" s="169"/>
      <c r="O590" s="169"/>
      <c r="P590" s="5"/>
      <c r="Q590" s="5"/>
      <c r="R590" s="5"/>
      <c r="S590" s="5"/>
      <c r="T590" s="5"/>
      <c r="U590" s="5"/>
      <c r="V590" s="5"/>
      <c r="W590" s="5"/>
      <c r="X590" s="5"/>
      <c r="Y590" s="5"/>
      <c r="Z590" s="5"/>
      <c r="AA590" s="5"/>
      <c r="AB590" s="5"/>
      <c r="AC590" s="5"/>
      <c r="AD590" s="5"/>
      <c r="AE590" s="5"/>
      <c r="AF590" s="5"/>
      <c r="AG590" s="5"/>
      <c r="AH590" s="5"/>
      <c r="AI590" s="5"/>
      <c r="AJ590" s="5"/>
      <c r="AK590" s="5"/>
      <c r="AL590" s="5"/>
      <c r="AM590" s="23"/>
    </row>
    <row r="591" spans="1:39" x14ac:dyDescent="0.2">
      <c r="A591" s="11"/>
      <c r="B591" s="11"/>
      <c r="C591" s="67"/>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23"/>
    </row>
    <row r="592" spans="1:39" x14ac:dyDescent="0.2">
      <c r="A592" s="11"/>
      <c r="B592" s="11"/>
      <c r="C592" s="21" t="s">
        <v>352</v>
      </c>
      <c r="D592" s="5"/>
      <c r="E592" s="5"/>
      <c r="F592" s="5"/>
      <c r="G592" s="5"/>
      <c r="H592" s="5"/>
      <c r="I592" s="5"/>
      <c r="J592" s="5"/>
      <c r="K592" s="5"/>
      <c r="L592" s="5"/>
      <c r="M592" s="5"/>
      <c r="N592" s="100" t="str">
        <f>IF(D597&lt;&gt;"",IF(OR(back!C4=3,back!C4=4),"Error: Integrated Internet Access is not available with ULL or wDSL!"," "),"")</f>
        <v/>
      </c>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23"/>
    </row>
    <row r="593" spans="1:41" x14ac:dyDescent="0.2">
      <c r="A593" s="11"/>
      <c r="B593" s="36"/>
      <c r="C593" s="39" t="s">
        <v>25</v>
      </c>
      <c r="D593" s="27"/>
      <c r="E593" s="39" t="str">
        <f>IF(D593&lt;&gt;"","Please check the ‘+’ icon to the left and provide the necessary information","")</f>
        <v/>
      </c>
      <c r="F593" s="39"/>
      <c r="G593" s="39"/>
      <c r="H593" s="39"/>
      <c r="I593" s="37"/>
      <c r="J593" s="37"/>
      <c r="K593" s="5"/>
      <c r="L593" s="13"/>
      <c r="M593" s="37"/>
      <c r="N593" s="37"/>
      <c r="O593" s="37"/>
      <c r="P593" s="37"/>
      <c r="Q593" s="37"/>
      <c r="R593" s="37"/>
      <c r="S593" s="37"/>
      <c r="T593" s="37"/>
      <c r="U593" s="37"/>
      <c r="V593" s="48"/>
      <c r="W593" s="37"/>
      <c r="X593" s="37"/>
      <c r="Y593" s="37"/>
      <c r="Z593" s="37"/>
      <c r="AA593" s="37"/>
      <c r="AB593" s="37"/>
      <c r="AC593" s="37"/>
      <c r="AD593" s="37"/>
      <c r="AE593" s="5"/>
      <c r="AF593" s="5"/>
      <c r="AG593" s="5"/>
      <c r="AH593" s="5"/>
      <c r="AI593" s="5"/>
      <c r="AJ593" s="5"/>
      <c r="AK593" s="5"/>
      <c r="AL593" s="5"/>
      <c r="AM593" s="23"/>
    </row>
    <row r="594" spans="1:41" x14ac:dyDescent="0.2">
      <c r="A594" s="11"/>
      <c r="B594" s="36"/>
      <c r="C594" s="39" t="s">
        <v>27</v>
      </c>
      <c r="D594" s="28" t="s">
        <v>9</v>
      </c>
      <c r="E594" s="41"/>
      <c r="F594" s="49"/>
      <c r="G594" s="49"/>
      <c r="H594" s="49"/>
      <c r="I594" s="37"/>
      <c r="J594" s="37"/>
      <c r="K594" s="5"/>
      <c r="L594" s="13"/>
      <c r="M594" s="37"/>
      <c r="N594" s="37"/>
      <c r="O594" s="37"/>
      <c r="P594" s="37"/>
      <c r="Q594" s="37"/>
      <c r="R594" s="37"/>
      <c r="S594" s="37"/>
      <c r="T594" s="37"/>
      <c r="U594" s="37"/>
      <c r="V594" s="37"/>
      <c r="W594" s="37"/>
      <c r="X594" s="37"/>
      <c r="Y594" s="37"/>
      <c r="Z594" s="37"/>
      <c r="AA594" s="37"/>
      <c r="AB594" s="37"/>
      <c r="AC594" s="37"/>
      <c r="AD594" s="37"/>
      <c r="AE594" s="5"/>
      <c r="AF594" s="5"/>
      <c r="AG594" s="5"/>
      <c r="AH594" s="5"/>
      <c r="AI594" s="5"/>
      <c r="AJ594" s="5"/>
      <c r="AK594" s="5"/>
      <c r="AL594" s="5"/>
      <c r="AM594" s="23"/>
    </row>
    <row r="595" spans="1:41" x14ac:dyDescent="0.2">
      <c r="A595" s="11"/>
      <c r="B595" s="11"/>
      <c r="C595" s="61"/>
      <c r="D595" s="5"/>
      <c r="E595" s="5"/>
      <c r="F595" s="5"/>
      <c r="G595" s="5"/>
      <c r="H595" s="5"/>
      <c r="I595" s="5"/>
      <c r="J595" s="5"/>
      <c r="K595" s="5"/>
      <c r="L595" s="5"/>
      <c r="M595" s="5"/>
      <c r="N595" s="100"/>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23"/>
    </row>
    <row r="596" spans="1:41" x14ac:dyDescent="0.2">
      <c r="A596" s="11"/>
      <c r="B596" s="11"/>
      <c r="C596" s="135" t="s">
        <v>353</v>
      </c>
      <c r="D596" s="5"/>
      <c r="E596" s="5"/>
      <c r="F596" s="5"/>
      <c r="G596" s="5"/>
      <c r="H596" s="5"/>
      <c r="I596" s="5"/>
      <c r="J596" s="5"/>
      <c r="K596" s="5"/>
      <c r="L596" s="5"/>
      <c r="M596" s="100"/>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23"/>
    </row>
    <row r="597" spans="1:41" x14ac:dyDescent="0.2">
      <c r="A597" s="11"/>
      <c r="B597" s="11"/>
      <c r="C597" s="5"/>
      <c r="D597" s="31"/>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23"/>
    </row>
    <row r="598" spans="1:41" x14ac:dyDescent="0.2">
      <c r="A598" s="11"/>
      <c r="B598" s="11"/>
      <c r="C598" s="29" t="s">
        <v>15</v>
      </c>
      <c r="D598" s="5" t="s">
        <v>354</v>
      </c>
      <c r="E598" s="5"/>
      <c r="F598" s="5"/>
      <c r="G598" s="5"/>
      <c r="H598" s="5"/>
      <c r="I598" s="5"/>
      <c r="J598" s="5"/>
      <c r="K598" s="5"/>
      <c r="L598" s="43"/>
      <c r="M598" s="43"/>
      <c r="N598" s="43"/>
      <c r="O598" s="43"/>
      <c r="P598" s="43"/>
      <c r="Q598" s="43"/>
      <c r="R598" s="43"/>
      <c r="S598" s="43"/>
      <c r="T598" s="43"/>
      <c r="U598" s="5"/>
      <c r="V598" s="37"/>
      <c r="W598" s="5"/>
      <c r="X598" s="5"/>
      <c r="Y598" s="5"/>
      <c r="Z598" s="5"/>
      <c r="AA598" s="5"/>
      <c r="AB598" s="5"/>
      <c r="AC598" s="5"/>
      <c r="AD598" s="5"/>
      <c r="AE598" s="5"/>
      <c r="AF598" s="5"/>
      <c r="AG598" s="5"/>
      <c r="AH598" s="5"/>
      <c r="AI598" s="5"/>
      <c r="AJ598" s="5"/>
      <c r="AK598" s="5"/>
      <c r="AL598" s="5"/>
      <c r="AM598" s="23"/>
      <c r="AO598" s="3" t="str">
        <f>back!K11</f>
        <v>64K</v>
      </c>
    </row>
    <row r="599" spans="1:41" x14ac:dyDescent="0.2">
      <c r="A599" s="11"/>
      <c r="B599" s="11"/>
      <c r="C599" s="5"/>
      <c r="D599" s="5"/>
      <c r="E599" s="5"/>
      <c r="F599" s="5"/>
      <c r="G599" s="5"/>
      <c r="H599" s="5"/>
      <c r="I599" s="5"/>
      <c r="J599" s="5"/>
      <c r="K599" s="5"/>
      <c r="L599" s="182" t="s">
        <v>355</v>
      </c>
      <c r="M599" s="5"/>
      <c r="N599" s="5"/>
      <c r="O599" s="5"/>
      <c r="P599" s="5"/>
      <c r="Q599" s="5"/>
      <c r="R599" s="100"/>
      <c r="S599" s="5"/>
      <c r="T599" s="5"/>
      <c r="U599" s="5"/>
      <c r="V599" s="5"/>
      <c r="W599" s="5"/>
      <c r="X599" s="5"/>
      <c r="Y599" s="5"/>
      <c r="Z599" s="5"/>
      <c r="AA599" s="5"/>
      <c r="AB599" s="5"/>
      <c r="AC599" s="5"/>
      <c r="AD599" s="5"/>
      <c r="AE599" s="5"/>
      <c r="AF599" s="5"/>
      <c r="AG599" s="5"/>
      <c r="AH599" s="5"/>
      <c r="AI599" s="5"/>
      <c r="AJ599" s="5"/>
      <c r="AK599" s="5"/>
      <c r="AL599" s="5"/>
      <c r="AM599" s="23"/>
      <c r="AO599" s="3" t="str">
        <f>back!K12</f>
        <v>128K</v>
      </c>
    </row>
    <row r="600" spans="1:41" x14ac:dyDescent="0.2">
      <c r="A600" s="11"/>
      <c r="B600" s="11"/>
      <c r="C600" s="5"/>
      <c r="D600" s="5"/>
      <c r="E600" s="5"/>
      <c r="F600" s="5"/>
      <c r="G600" s="5"/>
      <c r="H600" s="5"/>
      <c r="I600" s="5"/>
      <c r="J600" s="5"/>
      <c r="K600" s="5"/>
      <c r="L600" s="182" t="s">
        <v>356</v>
      </c>
      <c r="M600" s="5"/>
      <c r="N600" s="5"/>
      <c r="O600" s="5"/>
      <c r="P600" s="5"/>
      <c r="Q600" s="5"/>
      <c r="R600" s="100"/>
      <c r="S600" s="5"/>
      <c r="T600" s="5"/>
      <c r="U600" s="5"/>
      <c r="V600" s="5"/>
      <c r="W600" s="5"/>
      <c r="X600" s="5"/>
      <c r="Y600" s="5"/>
      <c r="Z600" s="5"/>
      <c r="AA600" s="5"/>
      <c r="AB600" s="5"/>
      <c r="AC600" s="5"/>
      <c r="AD600" s="5"/>
      <c r="AE600" s="5"/>
      <c r="AF600" s="5"/>
      <c r="AG600" s="5"/>
      <c r="AH600" s="5"/>
      <c r="AI600" s="5"/>
      <c r="AJ600" s="5"/>
      <c r="AK600" s="5"/>
      <c r="AL600" s="5"/>
      <c r="AM600" s="23"/>
      <c r="AO600" s="3" t="str">
        <f>back!K13</f>
        <v>256K</v>
      </c>
    </row>
    <row r="601" spans="1:41" x14ac:dyDescent="0.2">
      <c r="A601" s="11"/>
      <c r="B601" s="11"/>
      <c r="C601" s="5"/>
      <c r="D601" s="5"/>
      <c r="E601" s="5"/>
      <c r="F601" s="5"/>
      <c r="G601" s="5"/>
      <c r="H601" s="5"/>
      <c r="I601" s="5"/>
      <c r="J601" s="5"/>
      <c r="K601" s="5"/>
      <c r="L601" s="5"/>
      <c r="M601" s="5"/>
      <c r="N601" s="5"/>
      <c r="O601" s="5"/>
      <c r="P601" s="5"/>
      <c r="Q601" s="5"/>
      <c r="R601" s="100"/>
      <c r="S601" s="5"/>
      <c r="T601" s="5"/>
      <c r="U601" s="5"/>
      <c r="V601" s="5"/>
      <c r="W601" s="5"/>
      <c r="X601" s="5"/>
      <c r="Y601" s="5"/>
      <c r="Z601" s="5"/>
      <c r="AA601" s="5"/>
      <c r="AB601" s="5"/>
      <c r="AC601" s="5"/>
      <c r="AD601" s="5"/>
      <c r="AE601" s="5"/>
      <c r="AF601" s="5"/>
      <c r="AG601" s="5"/>
      <c r="AH601" s="5"/>
      <c r="AI601" s="5"/>
      <c r="AJ601" s="5"/>
      <c r="AK601" s="5"/>
      <c r="AL601" s="5"/>
      <c r="AM601" s="23"/>
      <c r="AO601" s="3" t="str">
        <f>back!K14</f>
        <v>512K</v>
      </c>
    </row>
    <row r="602" spans="1:41" x14ac:dyDescent="0.2">
      <c r="A602" s="11"/>
      <c r="B602" s="11"/>
      <c r="C602" s="29" t="s">
        <v>15</v>
      </c>
      <c r="D602" s="5" t="s">
        <v>357</v>
      </c>
      <c r="E602" s="5"/>
      <c r="F602" s="5"/>
      <c r="G602" s="5"/>
      <c r="H602" s="5"/>
      <c r="I602" s="5"/>
      <c r="J602" s="5"/>
      <c r="K602" s="5"/>
      <c r="L602" s="5"/>
      <c r="M602" s="5"/>
      <c r="N602" s="5"/>
      <c r="O602" s="5"/>
      <c r="P602" s="5"/>
      <c r="Q602" s="5"/>
      <c r="R602" s="5"/>
      <c r="S602" s="5"/>
      <c r="T602" s="5"/>
      <c r="U602" s="5"/>
      <c r="V602" s="5"/>
      <c r="W602" s="5"/>
      <c r="X602" s="5"/>
      <c r="Y602" s="5"/>
      <c r="Z602" s="5"/>
      <c r="AA602" s="67"/>
      <c r="AB602" s="5"/>
      <c r="AC602" s="5"/>
      <c r="AD602" s="5"/>
      <c r="AE602" s="5"/>
      <c r="AF602" s="5"/>
      <c r="AG602" s="5"/>
      <c r="AH602" s="5"/>
      <c r="AI602" s="5"/>
      <c r="AJ602" s="5"/>
      <c r="AK602" s="5"/>
      <c r="AL602" s="5"/>
      <c r="AM602" s="23"/>
      <c r="AO602" s="3" t="str">
        <f>back!K15</f>
        <v>1M</v>
      </c>
    </row>
    <row r="603" spans="1:41" x14ac:dyDescent="0.2">
      <c r="A603" s="11"/>
      <c r="B603" s="11"/>
      <c r="C603" s="29"/>
      <c r="D603" s="27" t="s">
        <v>9</v>
      </c>
      <c r="E603" s="61" t="s">
        <v>25</v>
      </c>
      <c r="F603" s="61" t="s">
        <v>68</v>
      </c>
      <c r="G603" s="5"/>
      <c r="H603" s="5"/>
      <c r="I603" s="5"/>
      <c r="J603" s="5"/>
      <c r="K603" s="5"/>
      <c r="L603" s="5"/>
      <c r="M603" s="5"/>
      <c r="N603" s="5"/>
      <c r="O603" s="5"/>
      <c r="P603" s="5"/>
      <c r="Q603" s="5"/>
      <c r="R603" s="5"/>
      <c r="S603" s="5"/>
      <c r="T603" s="5"/>
      <c r="U603" s="5"/>
      <c r="V603" s="5"/>
      <c r="W603" s="5"/>
      <c r="X603" s="5"/>
      <c r="Y603" s="5"/>
      <c r="Z603" s="5"/>
      <c r="AA603" s="67"/>
      <c r="AB603" s="5"/>
      <c r="AC603" s="5"/>
      <c r="AD603" s="5"/>
      <c r="AE603" s="5"/>
      <c r="AF603" s="5"/>
      <c r="AG603" s="5"/>
      <c r="AH603" s="5"/>
      <c r="AI603" s="5"/>
      <c r="AJ603" s="5"/>
      <c r="AK603" s="5"/>
      <c r="AL603" s="5"/>
      <c r="AM603" s="23"/>
      <c r="AO603" s="3" t="str">
        <f>back!K16</f>
        <v>1.5M</v>
      </c>
    </row>
    <row r="604" spans="1:41" x14ac:dyDescent="0.2">
      <c r="A604" s="11"/>
      <c r="B604" s="11"/>
      <c r="C604" s="29"/>
      <c r="D604" s="29" t="s">
        <v>269</v>
      </c>
      <c r="E604" s="29" t="s">
        <v>15</v>
      </c>
      <c r="F604" s="61" t="s">
        <v>358</v>
      </c>
      <c r="G604" s="5"/>
      <c r="H604" s="29"/>
      <c r="I604" s="77"/>
      <c r="J604" s="77"/>
      <c r="K604" s="77"/>
      <c r="L604" s="77"/>
      <c r="M604" s="77"/>
      <c r="N604" s="77"/>
      <c r="O604" s="77"/>
      <c r="P604" s="5"/>
      <c r="Q604" s="5"/>
      <c r="R604" s="67"/>
      <c r="S604" s="5"/>
      <c r="T604" s="5"/>
      <c r="U604" s="5"/>
      <c r="V604" s="5"/>
      <c r="W604" s="5"/>
      <c r="X604" s="5"/>
      <c r="Y604" s="5"/>
      <c r="Z604" s="5"/>
      <c r="AA604" s="67"/>
      <c r="AB604" s="5"/>
      <c r="AC604" s="5"/>
      <c r="AD604" s="5"/>
      <c r="AE604" s="5"/>
      <c r="AF604" s="5"/>
      <c r="AG604" s="5"/>
      <c r="AH604" s="5"/>
      <c r="AI604" s="5"/>
      <c r="AJ604" s="5"/>
      <c r="AK604" s="5"/>
      <c r="AL604" s="5"/>
      <c r="AM604" s="23"/>
      <c r="AO604" s="3" t="str">
        <f>back!K17</f>
        <v>2M</v>
      </c>
    </row>
    <row r="605" spans="1:41" x14ac:dyDescent="0.2">
      <c r="A605" s="11"/>
      <c r="B605" s="11"/>
      <c r="C605" s="29"/>
      <c r="D605" s="29" t="s">
        <v>269</v>
      </c>
      <c r="E605" s="31"/>
      <c r="F605" s="61"/>
      <c r="G605" s="5"/>
      <c r="H605" s="29"/>
      <c r="I605" s="5"/>
      <c r="J605" s="5"/>
      <c r="K605" s="5"/>
      <c r="L605" s="5"/>
      <c r="M605" s="5"/>
      <c r="N605" s="5"/>
      <c r="O605" s="5"/>
      <c r="P605" s="5"/>
      <c r="Q605" s="5"/>
      <c r="R605" s="67"/>
      <c r="S605" s="5"/>
      <c r="T605" s="5"/>
      <c r="U605" s="5"/>
      <c r="V605" s="5"/>
      <c r="W605" s="5"/>
      <c r="X605" s="5"/>
      <c r="Y605" s="5"/>
      <c r="Z605" s="5"/>
      <c r="AA605" s="67"/>
      <c r="AB605" s="5"/>
      <c r="AC605" s="5"/>
      <c r="AD605" s="5"/>
      <c r="AE605" s="5"/>
      <c r="AF605" s="5"/>
      <c r="AG605" s="5"/>
      <c r="AH605" s="5"/>
      <c r="AI605" s="5"/>
      <c r="AJ605" s="5"/>
      <c r="AK605" s="5"/>
      <c r="AL605" s="5"/>
      <c r="AM605" s="23"/>
      <c r="AO605" s="3" t="str">
        <f>back!K18</f>
        <v>3M</v>
      </c>
    </row>
    <row r="606" spans="1:41" x14ac:dyDescent="0.2">
      <c r="A606" s="11"/>
      <c r="B606" s="11"/>
      <c r="C606" s="5"/>
      <c r="D606" s="29" t="s">
        <v>269</v>
      </c>
      <c r="E606" s="29" t="s">
        <v>15</v>
      </c>
      <c r="F606" s="61" t="s">
        <v>359</v>
      </c>
      <c r="G606" s="5"/>
      <c r="H606" s="5"/>
      <c r="I606" s="5"/>
      <c r="J606" s="5"/>
      <c r="K606" s="5"/>
      <c r="L606" s="5"/>
      <c r="M606" s="5"/>
      <c r="N606" s="5"/>
      <c r="O606" s="5"/>
      <c r="P606" s="5"/>
      <c r="Q606" s="5"/>
      <c r="R606" s="5"/>
      <c r="S606" s="5"/>
      <c r="T606" s="5"/>
      <c r="U606" s="5"/>
      <c r="V606" s="5"/>
      <c r="W606" s="5"/>
      <c r="X606" s="5"/>
      <c r="Y606" s="5"/>
      <c r="Z606" s="5"/>
      <c r="AA606" s="67"/>
      <c r="AB606" s="5"/>
      <c r="AC606" s="5"/>
      <c r="AD606" s="5"/>
      <c r="AE606" s="5"/>
      <c r="AF606" s="5"/>
      <c r="AG606" s="5"/>
      <c r="AH606" s="5"/>
      <c r="AI606" s="5"/>
      <c r="AJ606" s="5"/>
      <c r="AK606" s="5"/>
      <c r="AL606" s="5"/>
      <c r="AM606" s="23"/>
      <c r="AO606" s="3" t="str">
        <f>back!K19</f>
        <v>4M</v>
      </c>
    </row>
    <row r="607" spans="1:41" x14ac:dyDescent="0.2">
      <c r="A607" s="11"/>
      <c r="B607" s="11"/>
      <c r="C607" s="5"/>
      <c r="D607" s="29" t="s">
        <v>269</v>
      </c>
      <c r="E607" s="5"/>
      <c r="F607" s="27" t="s">
        <v>9</v>
      </c>
      <c r="G607" s="61">
        <v>8</v>
      </c>
      <c r="H607" s="27"/>
      <c r="I607" s="61">
        <v>16</v>
      </c>
      <c r="J607" s="27"/>
      <c r="K607" s="183">
        <v>32</v>
      </c>
      <c r="L607" s="27"/>
      <c r="M607" s="183">
        <v>64</v>
      </c>
      <c r="N607" s="27"/>
      <c r="O607" s="183">
        <v>128</v>
      </c>
      <c r="P607" s="27"/>
      <c r="Q607" s="183" t="s">
        <v>360</v>
      </c>
      <c r="R607" s="184"/>
      <c r="S607" s="27"/>
      <c r="T607" s="183" t="s">
        <v>361</v>
      </c>
      <c r="U607" s="184"/>
      <c r="V607" s="184"/>
      <c r="W607" s="184"/>
      <c r="X607" s="5"/>
      <c r="Y607" s="5"/>
      <c r="Z607" s="5"/>
      <c r="AA607" s="67"/>
      <c r="AB607" s="5"/>
      <c r="AC607" s="5"/>
      <c r="AD607" s="5"/>
      <c r="AE607" s="5"/>
      <c r="AF607" s="5"/>
      <c r="AG607" s="5"/>
      <c r="AH607" s="5"/>
      <c r="AI607" s="5"/>
      <c r="AJ607" s="5"/>
      <c r="AK607" s="5"/>
      <c r="AL607" s="5"/>
      <c r="AM607" s="23"/>
      <c r="AO607" s="3" t="str">
        <f>back!K20</f>
        <v>5M</v>
      </c>
    </row>
    <row r="608" spans="1:41" x14ac:dyDescent="0.2">
      <c r="A608" s="11"/>
      <c r="B608" s="11"/>
      <c r="C608" s="5"/>
      <c r="D608" s="29" t="s">
        <v>269</v>
      </c>
      <c r="E608" s="5"/>
      <c r="F608" s="61" t="s">
        <v>68</v>
      </c>
      <c r="G608" s="5"/>
      <c r="H608" s="29"/>
      <c r="I608" s="5"/>
      <c r="J608" s="185" t="s">
        <v>362</v>
      </c>
      <c r="K608" s="186"/>
      <c r="L608" s="185" t="s">
        <v>362</v>
      </c>
      <c r="M608" s="184"/>
      <c r="N608" s="185" t="s">
        <v>362</v>
      </c>
      <c r="O608" s="184"/>
      <c r="P608" s="185" t="s">
        <v>362</v>
      </c>
      <c r="Q608" s="184"/>
      <c r="R608" s="184"/>
      <c r="S608" s="185" t="s">
        <v>362</v>
      </c>
      <c r="T608" s="184"/>
      <c r="U608" s="184"/>
      <c r="V608" s="184"/>
      <c r="W608" s="184"/>
      <c r="X608" s="5"/>
      <c r="Y608" s="5"/>
      <c r="Z608" s="5"/>
      <c r="AA608" s="67"/>
      <c r="AB608" s="5"/>
      <c r="AC608" s="5"/>
      <c r="AD608" s="5"/>
      <c r="AE608" s="5"/>
      <c r="AF608" s="5"/>
      <c r="AG608" s="5"/>
      <c r="AH608" s="5"/>
      <c r="AI608" s="5"/>
      <c r="AJ608" s="5"/>
      <c r="AK608" s="5"/>
      <c r="AL608" s="5"/>
      <c r="AM608" s="23"/>
      <c r="AO608" s="3" t="str">
        <f>back!K21</f>
        <v>6M</v>
      </c>
    </row>
    <row r="609" spans="1:41" ht="68.25" x14ac:dyDescent="0.2">
      <c r="A609" s="11"/>
      <c r="B609" s="11"/>
      <c r="C609" s="5"/>
      <c r="D609" s="29" t="s">
        <v>269</v>
      </c>
      <c r="E609" s="5"/>
      <c r="F609" s="187" t="str">
        <f>IF(F607&lt;&gt;"","Note: when Dual homed is selected, only three IP addresses can be used in the LAN","")</f>
        <v>Note: when Dual homed is selected, only three IP addresses can be used in the LAN</v>
      </c>
      <c r="G609" s="187"/>
      <c r="H609" s="187"/>
      <c r="I609" s="187"/>
      <c r="J609" s="184" t="s">
        <v>363</v>
      </c>
      <c r="K609" s="184"/>
      <c r="L609" s="184"/>
      <c r="M609" s="184"/>
      <c r="N609" s="184"/>
      <c r="O609" s="184"/>
      <c r="P609" s="184"/>
      <c r="Q609" s="184"/>
      <c r="R609" s="184"/>
      <c r="S609" s="184"/>
      <c r="T609" s="184"/>
      <c r="U609" s="184"/>
      <c r="V609" s="184"/>
      <c r="W609" s="184"/>
      <c r="X609" s="5"/>
      <c r="Y609" s="5"/>
      <c r="Z609" s="5"/>
      <c r="AA609" s="67"/>
      <c r="AB609" s="5"/>
      <c r="AC609" s="5"/>
      <c r="AD609" s="5"/>
      <c r="AE609" s="5"/>
      <c r="AF609" s="5"/>
      <c r="AG609" s="5"/>
      <c r="AH609" s="5"/>
      <c r="AI609" s="5"/>
      <c r="AJ609" s="5"/>
      <c r="AK609" s="5"/>
      <c r="AL609" s="5"/>
      <c r="AM609" s="23"/>
      <c r="AO609" s="3" t="str">
        <f>back!K22</f>
        <v>7M</v>
      </c>
    </row>
    <row r="610" spans="1:41" x14ac:dyDescent="0.2">
      <c r="A610" s="11"/>
      <c r="B610" s="11"/>
      <c r="C610" s="5"/>
      <c r="D610" s="29" t="s">
        <v>269</v>
      </c>
      <c r="E610" s="5"/>
      <c r="F610" s="187"/>
      <c r="G610" s="187"/>
      <c r="H610" s="187"/>
      <c r="I610" s="187"/>
      <c r="J610" s="188" t="s">
        <v>364</v>
      </c>
      <c r="K610" s="184"/>
      <c r="L610" s="184"/>
      <c r="M610" s="184"/>
      <c r="N610" s="184"/>
      <c r="O610" s="184"/>
      <c r="P610" s="184"/>
      <c r="Q610" s="184"/>
      <c r="R610" s="184"/>
      <c r="S610" s="184"/>
      <c r="T610" s="184"/>
      <c r="U610" s="184"/>
      <c r="V610" s="184"/>
      <c r="W610" s="184"/>
      <c r="X610" s="5"/>
      <c r="Y610" s="5"/>
      <c r="Z610" s="5"/>
      <c r="AA610" s="67"/>
      <c r="AB610" s="5"/>
      <c r="AC610" s="5"/>
      <c r="AD610" s="5"/>
      <c r="AE610" s="5"/>
      <c r="AF610" s="5"/>
      <c r="AG610" s="5"/>
      <c r="AH610" s="5"/>
      <c r="AI610" s="5"/>
      <c r="AJ610" s="5"/>
      <c r="AK610" s="5"/>
      <c r="AL610" s="5"/>
      <c r="AM610" s="23"/>
      <c r="AO610" s="3" t="str">
        <f>back!K23</f>
        <v>8M</v>
      </c>
    </row>
    <row r="611" spans="1:41" x14ac:dyDescent="0.2">
      <c r="A611" s="11"/>
      <c r="B611" s="11"/>
      <c r="C611" s="29"/>
      <c r="D611" s="29" t="s">
        <v>269</v>
      </c>
      <c r="E611" s="5"/>
      <c r="F611" s="187"/>
      <c r="G611" s="187"/>
      <c r="H611" s="187"/>
      <c r="I611" s="187"/>
      <c r="J611" s="5"/>
      <c r="K611" s="5"/>
      <c r="L611" s="5"/>
      <c r="M611" s="5"/>
      <c r="N611" s="5"/>
      <c r="O611" s="5"/>
      <c r="P611" s="5"/>
      <c r="Q611" s="5"/>
      <c r="R611" s="5"/>
      <c r="S611" s="5"/>
      <c r="T611" s="5"/>
      <c r="U611" s="5"/>
      <c r="V611" s="5"/>
      <c r="W611" s="5"/>
      <c r="X611" s="5"/>
      <c r="Y611" s="5"/>
      <c r="Z611" s="5"/>
      <c r="AA611" s="67"/>
      <c r="AB611" s="5"/>
      <c r="AC611" s="5"/>
      <c r="AD611" s="5"/>
      <c r="AE611" s="5"/>
      <c r="AF611" s="5"/>
      <c r="AG611" s="5"/>
      <c r="AH611" s="5"/>
      <c r="AI611" s="5"/>
      <c r="AJ611" s="5"/>
      <c r="AK611" s="5"/>
      <c r="AL611" s="5"/>
      <c r="AM611" s="23"/>
      <c r="AO611" s="3" t="str">
        <f>back!K24</f>
        <v>9M</v>
      </c>
    </row>
    <row r="612" spans="1:41" x14ac:dyDescent="0.2">
      <c r="A612" s="11"/>
      <c r="B612" s="11"/>
      <c r="C612" s="29"/>
      <c r="D612" s="29"/>
      <c r="E612" s="5"/>
      <c r="F612" s="187"/>
      <c r="G612" s="187"/>
      <c r="H612" s="187"/>
      <c r="I612" s="187"/>
      <c r="J612" s="5"/>
      <c r="K612" s="5"/>
      <c r="L612" s="5"/>
      <c r="M612" s="5"/>
      <c r="N612" s="5"/>
      <c r="O612" s="5"/>
      <c r="P612" s="5"/>
      <c r="Q612" s="5"/>
      <c r="R612" s="5"/>
      <c r="S612" s="5"/>
      <c r="T612" s="5"/>
      <c r="U612" s="5"/>
      <c r="V612" s="5"/>
      <c r="W612" s="5"/>
      <c r="X612" s="5"/>
      <c r="Y612" s="5"/>
      <c r="Z612" s="5"/>
      <c r="AA612" s="67"/>
      <c r="AB612" s="5"/>
      <c r="AC612" s="5"/>
      <c r="AD612" s="5"/>
      <c r="AE612" s="5"/>
      <c r="AF612" s="5"/>
      <c r="AG612" s="5"/>
      <c r="AH612" s="5"/>
      <c r="AI612" s="5"/>
      <c r="AJ612" s="5"/>
      <c r="AK612" s="5"/>
      <c r="AL612" s="5"/>
      <c r="AM612" s="23"/>
      <c r="AO612" s="3" t="str">
        <f>back!K25</f>
        <v>10M</v>
      </c>
    </row>
    <row r="613" spans="1:41" x14ac:dyDescent="0.2">
      <c r="A613" s="11"/>
      <c r="B613" s="11"/>
      <c r="C613" s="29"/>
      <c r="D613" s="29"/>
      <c r="E613" s="5"/>
      <c r="F613" s="5"/>
      <c r="G613" s="5"/>
      <c r="H613" s="5"/>
      <c r="I613" s="5"/>
      <c r="J613" s="5"/>
      <c r="K613" s="5"/>
      <c r="L613" s="5"/>
      <c r="M613" s="5"/>
      <c r="N613" s="5"/>
      <c r="O613" s="5"/>
      <c r="P613" s="5"/>
      <c r="Q613" s="5"/>
      <c r="R613" s="5"/>
      <c r="S613" s="5"/>
      <c r="T613" s="5"/>
      <c r="U613" s="5"/>
      <c r="V613" s="5"/>
      <c r="W613" s="5"/>
      <c r="X613" s="5"/>
      <c r="Y613" s="5"/>
      <c r="Z613" s="5"/>
      <c r="AA613" s="67"/>
      <c r="AB613" s="5"/>
      <c r="AC613" s="5"/>
      <c r="AD613" s="5"/>
      <c r="AE613" s="5"/>
      <c r="AF613" s="5"/>
      <c r="AG613" s="5"/>
      <c r="AH613" s="5"/>
      <c r="AI613" s="5"/>
      <c r="AJ613" s="5"/>
      <c r="AK613" s="5"/>
      <c r="AL613" s="5"/>
      <c r="AM613" s="23"/>
      <c r="AO613" s="3" t="str">
        <f>back!K26</f>
        <v>11M</v>
      </c>
    </row>
    <row r="614" spans="1:41" x14ac:dyDescent="0.2">
      <c r="A614" s="11"/>
      <c r="B614" s="11"/>
      <c r="C614" s="29"/>
      <c r="D614" s="29" t="s">
        <v>269</v>
      </c>
      <c r="E614" s="29" t="s">
        <v>15</v>
      </c>
      <c r="F614" s="61" t="s">
        <v>365</v>
      </c>
      <c r="G614" s="5"/>
      <c r="H614" s="5"/>
      <c r="I614" s="5"/>
      <c r="J614" s="5"/>
      <c r="K614" s="5"/>
      <c r="L614" s="5"/>
      <c r="M614" s="5"/>
      <c r="N614" s="5"/>
      <c r="O614" s="5"/>
      <c r="P614" s="5"/>
      <c r="Q614" s="5"/>
      <c r="R614" s="5"/>
      <c r="S614" s="5"/>
      <c r="T614" s="5"/>
      <c r="U614" s="5"/>
      <c r="V614" s="5"/>
      <c r="W614" s="5"/>
      <c r="X614" s="5"/>
      <c r="Y614" s="5"/>
      <c r="Z614" s="5"/>
      <c r="AA614" s="67"/>
      <c r="AB614" s="5"/>
      <c r="AC614" s="5"/>
      <c r="AD614" s="5"/>
      <c r="AE614" s="5"/>
      <c r="AF614" s="5"/>
      <c r="AG614" s="5"/>
      <c r="AH614" s="5"/>
      <c r="AI614" s="5"/>
      <c r="AJ614" s="5"/>
      <c r="AK614" s="5"/>
      <c r="AL614" s="5"/>
      <c r="AM614" s="123"/>
      <c r="AO614" s="3" t="str">
        <f>back!K27</f>
        <v>12M</v>
      </c>
    </row>
    <row r="615" spans="1:41" x14ac:dyDescent="0.2">
      <c r="A615" s="11"/>
      <c r="B615" s="11"/>
      <c r="C615" s="29"/>
      <c r="D615" s="29" t="s">
        <v>269</v>
      </c>
      <c r="E615" s="67" t="s">
        <v>143</v>
      </c>
      <c r="F615" s="171"/>
      <c r="G615" s="5"/>
      <c r="H615" s="5"/>
      <c r="I615" s="5"/>
      <c r="J615" s="5"/>
      <c r="K615" s="5"/>
      <c r="L615" s="5"/>
      <c r="M615" s="5"/>
      <c r="N615" s="5"/>
      <c r="O615" s="5"/>
      <c r="P615" s="5"/>
      <c r="Q615" s="5"/>
      <c r="R615" s="5"/>
      <c r="S615" s="5"/>
      <c r="T615" s="5"/>
      <c r="U615" s="5"/>
      <c r="V615" s="5"/>
      <c r="W615" s="5"/>
      <c r="X615" s="5"/>
      <c r="Y615" s="5"/>
      <c r="Z615" s="5"/>
      <c r="AA615" s="67"/>
      <c r="AB615" s="5"/>
      <c r="AC615" s="5"/>
      <c r="AD615" s="5"/>
      <c r="AE615" s="5"/>
      <c r="AF615" s="5"/>
      <c r="AG615" s="5"/>
      <c r="AH615" s="5"/>
      <c r="AI615" s="5"/>
      <c r="AJ615" s="5"/>
      <c r="AK615" s="5"/>
      <c r="AL615" s="5"/>
      <c r="AM615" s="123"/>
      <c r="AO615" s="3" t="str">
        <f>back!K28</f>
        <v>13M</v>
      </c>
    </row>
    <row r="616" spans="1:41" x14ac:dyDescent="0.2">
      <c r="A616" s="11"/>
      <c r="B616" s="11"/>
      <c r="C616" s="29"/>
      <c r="D616" s="29" t="s">
        <v>269</v>
      </c>
      <c r="E616" s="5"/>
      <c r="F616" s="5"/>
      <c r="G616" s="5"/>
      <c r="H616" s="5"/>
      <c r="I616" s="5"/>
      <c r="J616" s="5"/>
      <c r="K616" s="5"/>
      <c r="L616" s="5"/>
      <c r="M616" s="5"/>
      <c r="N616" s="5"/>
      <c r="O616" s="5"/>
      <c r="P616" s="5"/>
      <c r="Q616" s="5"/>
      <c r="R616" s="5"/>
      <c r="S616" s="5"/>
      <c r="T616" s="5"/>
      <c r="U616" s="5"/>
      <c r="V616" s="5"/>
      <c r="W616" s="5"/>
      <c r="X616" s="5"/>
      <c r="Y616" s="5"/>
      <c r="Z616" s="5"/>
      <c r="AA616" s="67"/>
      <c r="AB616" s="5"/>
      <c r="AC616" s="5"/>
      <c r="AD616" s="5"/>
      <c r="AE616" s="5"/>
      <c r="AF616" s="5"/>
      <c r="AG616" s="5"/>
      <c r="AH616" s="5"/>
      <c r="AI616" s="5"/>
      <c r="AJ616" s="5"/>
      <c r="AK616" s="5"/>
      <c r="AL616" s="5"/>
      <c r="AM616" s="23"/>
      <c r="AO616" s="3" t="str">
        <f>back!K29</f>
        <v>14M</v>
      </c>
    </row>
    <row r="617" spans="1:41" x14ac:dyDescent="0.2">
      <c r="A617" s="11"/>
      <c r="B617" s="11"/>
      <c r="C617" s="29"/>
      <c r="D617" s="27"/>
      <c r="E617" s="5" t="s">
        <v>366</v>
      </c>
      <c r="F617" s="5"/>
      <c r="G617" s="29"/>
      <c r="H617" s="5"/>
      <c r="I617" s="5"/>
      <c r="J617" s="5"/>
      <c r="K617" s="5"/>
      <c r="L617" s="5"/>
      <c r="M617" s="5"/>
      <c r="N617" s="5"/>
      <c r="O617" s="5"/>
      <c r="P617" s="5"/>
      <c r="Q617" s="67"/>
      <c r="R617" s="5"/>
      <c r="S617" s="5"/>
      <c r="T617" s="5"/>
      <c r="U617" s="5"/>
      <c r="V617" s="5"/>
      <c r="W617" s="5"/>
      <c r="X617" s="5"/>
      <c r="Y617" s="5"/>
      <c r="Z617" s="5"/>
      <c r="AA617" s="67"/>
      <c r="AB617" s="5"/>
      <c r="AC617" s="5"/>
      <c r="AD617" s="5"/>
      <c r="AE617" s="5"/>
      <c r="AF617" s="5"/>
      <c r="AG617" s="5"/>
      <c r="AH617" s="5"/>
      <c r="AI617" s="5"/>
      <c r="AJ617" s="5"/>
      <c r="AK617" s="5"/>
      <c r="AL617" s="5"/>
      <c r="AM617" s="23"/>
      <c r="AO617" s="3" t="str">
        <f>back!K30</f>
        <v>15M</v>
      </c>
    </row>
    <row r="618" spans="1:41" x14ac:dyDescent="0.2">
      <c r="A618" s="11"/>
      <c r="B618" s="11"/>
      <c r="C618" s="67"/>
      <c r="D618" s="5"/>
      <c r="E618" s="5"/>
      <c r="F618" s="29"/>
      <c r="G618" s="31"/>
      <c r="H618" s="61"/>
      <c r="I618" s="5"/>
      <c r="J618" s="29"/>
      <c r="K618" s="5"/>
      <c r="L618" s="5"/>
      <c r="M618" s="5"/>
      <c r="N618" s="5"/>
      <c r="O618" s="5"/>
      <c r="P618" s="5"/>
      <c r="Q618" s="5"/>
      <c r="R618" s="5"/>
      <c r="S618" s="5"/>
      <c r="T618" s="67"/>
      <c r="U618" s="5"/>
      <c r="V618" s="5"/>
      <c r="W618" s="5"/>
      <c r="X618" s="5"/>
      <c r="Y618" s="5"/>
      <c r="Z618" s="5"/>
      <c r="AA618" s="5"/>
      <c r="AB618" s="67"/>
      <c r="AC618" s="5"/>
      <c r="AD618" s="5"/>
      <c r="AE618" s="5"/>
      <c r="AF618" s="5"/>
      <c r="AG618" s="5"/>
      <c r="AH618" s="5"/>
      <c r="AI618" s="5"/>
      <c r="AJ618" s="5"/>
      <c r="AK618" s="5"/>
      <c r="AL618" s="5"/>
      <c r="AM618" s="23"/>
      <c r="AO618" s="3" t="str">
        <f>back!K31</f>
        <v>16M</v>
      </c>
    </row>
    <row r="619" spans="1:41" x14ac:dyDescent="0.2">
      <c r="A619" s="11"/>
      <c r="B619" s="11"/>
      <c r="C619" s="21" t="s">
        <v>367</v>
      </c>
      <c r="D619" s="5"/>
      <c r="E619" s="5"/>
      <c r="F619" s="29"/>
      <c r="G619" s="31"/>
      <c r="H619" s="61"/>
      <c r="I619" s="5"/>
      <c r="J619" s="29"/>
      <c r="K619" s="5"/>
      <c r="L619" s="5"/>
      <c r="M619" s="5"/>
      <c r="N619" s="5"/>
      <c r="O619" s="5"/>
      <c r="P619" s="5"/>
      <c r="Q619" s="5"/>
      <c r="R619" s="5"/>
      <c r="S619" s="5"/>
      <c r="T619" s="5"/>
      <c r="U619" s="5"/>
      <c r="V619" s="5"/>
      <c r="W619" s="5"/>
      <c r="X619" s="5"/>
      <c r="Y619" s="5"/>
      <c r="Z619" s="5"/>
      <c r="AA619" s="5"/>
      <c r="AB619" s="67"/>
      <c r="AC619" s="5"/>
      <c r="AD619" s="5"/>
      <c r="AE619" s="5"/>
      <c r="AF619" s="5"/>
      <c r="AG619" s="5"/>
      <c r="AH619" s="5"/>
      <c r="AI619" s="5"/>
      <c r="AJ619" s="5"/>
      <c r="AK619" s="5"/>
      <c r="AL619" s="5"/>
      <c r="AM619" s="23"/>
      <c r="AO619" s="3" t="str">
        <f>back!K32</f>
        <v>17M</v>
      </c>
    </row>
    <row r="620" spans="1:41" x14ac:dyDescent="0.2">
      <c r="A620" s="11"/>
      <c r="B620" s="36"/>
      <c r="C620" s="39" t="s">
        <v>25</v>
      </c>
      <c r="D620" s="27" t="str">
        <f>IF(D40&lt;&gt;"","x","")</f>
        <v/>
      </c>
      <c r="E620" s="39" t="str">
        <f>IF(D620&lt;&gt;"","Please check the ‘+’ icon to the left and provide the necessary information","")</f>
        <v/>
      </c>
      <c r="F620" s="39"/>
      <c r="G620" s="39"/>
      <c r="H620" s="39"/>
      <c r="I620" s="37"/>
      <c r="J620" s="37"/>
      <c r="K620" s="5"/>
      <c r="L620" s="13"/>
      <c r="M620" s="37"/>
      <c r="N620" s="37"/>
      <c r="O620" s="37"/>
      <c r="P620" s="37"/>
      <c r="Q620" s="37"/>
      <c r="R620" s="37"/>
      <c r="S620" s="37"/>
      <c r="T620" s="37"/>
      <c r="U620" s="37"/>
      <c r="V620" s="48"/>
      <c r="W620" s="37"/>
      <c r="X620" s="37"/>
      <c r="Y620" s="37"/>
      <c r="Z620" s="37"/>
      <c r="AA620" s="37"/>
      <c r="AB620" s="37"/>
      <c r="AC620" s="37"/>
      <c r="AD620" s="37"/>
      <c r="AE620" s="5"/>
      <c r="AF620" s="5"/>
      <c r="AG620" s="5"/>
      <c r="AH620" s="5"/>
      <c r="AI620" s="5"/>
      <c r="AJ620" s="5"/>
      <c r="AK620" s="5"/>
      <c r="AL620" s="5"/>
      <c r="AM620" s="23"/>
      <c r="AO620" s="3" t="str">
        <f>back!K33</f>
        <v>18M</v>
      </c>
    </row>
    <row r="621" spans="1:41" x14ac:dyDescent="0.2">
      <c r="A621" s="11"/>
      <c r="B621" s="36"/>
      <c r="C621" s="39" t="s">
        <v>27</v>
      </c>
      <c r="D621" s="28" t="str">
        <f>IF(D40&lt;&gt;"","","x")</f>
        <v>x</v>
      </c>
      <c r="E621" s="41"/>
      <c r="F621" s="49"/>
      <c r="G621" s="49"/>
      <c r="H621" s="49"/>
      <c r="I621" s="37"/>
      <c r="J621" s="37"/>
      <c r="K621" s="5"/>
      <c r="L621" s="13"/>
      <c r="M621" s="37"/>
      <c r="N621" s="37"/>
      <c r="O621" s="37"/>
      <c r="P621" s="37"/>
      <c r="Q621" s="37"/>
      <c r="R621" s="37"/>
      <c r="S621" s="37"/>
      <c r="T621" s="37"/>
      <c r="U621" s="37"/>
      <c r="V621" s="37"/>
      <c r="W621" s="37"/>
      <c r="X621" s="37"/>
      <c r="Y621" s="37"/>
      <c r="Z621" s="37"/>
      <c r="AA621" s="37"/>
      <c r="AB621" s="37"/>
      <c r="AC621" s="37"/>
      <c r="AD621" s="37"/>
      <c r="AE621" s="5"/>
      <c r="AF621" s="5"/>
      <c r="AG621" s="5"/>
      <c r="AH621" s="5"/>
      <c r="AI621" s="5"/>
      <c r="AJ621" s="5"/>
      <c r="AK621" s="5"/>
      <c r="AL621" s="5"/>
      <c r="AM621" s="23"/>
      <c r="AO621" s="3" t="str">
        <f>back!K34</f>
        <v>19M</v>
      </c>
    </row>
    <row r="622" spans="1:41" x14ac:dyDescent="0.2">
      <c r="A622" s="11"/>
      <c r="B622" s="11"/>
      <c r="C622" s="67"/>
      <c r="D622" s="5"/>
      <c r="E622" s="5"/>
      <c r="F622" s="5"/>
      <c r="G622" s="5"/>
      <c r="H622" s="5"/>
      <c r="I622" s="5"/>
      <c r="J622" s="5"/>
      <c r="K622" s="5"/>
      <c r="L622" s="5"/>
      <c r="M622" s="5"/>
      <c r="N622" s="5"/>
      <c r="O622" s="5"/>
      <c r="P622" s="5"/>
      <c r="Q622" s="5"/>
      <c r="R622" s="5"/>
      <c r="S622" s="5"/>
      <c r="T622" s="5"/>
      <c r="U622" s="5"/>
      <c r="V622" s="5"/>
      <c r="W622" s="5"/>
      <c r="X622" s="5"/>
      <c r="Y622" s="5"/>
      <c r="Z622" s="5"/>
      <c r="AA622" s="5"/>
      <c r="AB622" s="67"/>
      <c r="AC622" s="5"/>
      <c r="AD622" s="5"/>
      <c r="AE622" s="5"/>
      <c r="AF622" s="5"/>
      <c r="AG622" s="5"/>
      <c r="AH622" s="5"/>
      <c r="AI622" s="5"/>
      <c r="AJ622" s="5"/>
      <c r="AK622" s="5"/>
      <c r="AL622" s="5"/>
      <c r="AM622" s="23"/>
      <c r="AO622" s="3" t="str">
        <f>back!K35</f>
        <v>20M</v>
      </c>
    </row>
    <row r="623" spans="1:41" x14ac:dyDescent="0.2">
      <c r="A623" s="11"/>
      <c r="B623" s="11"/>
      <c r="C623" s="29" t="s">
        <v>15</v>
      </c>
      <c r="D623" s="28"/>
      <c r="E623" s="7" t="s">
        <v>368</v>
      </c>
      <c r="F623" s="31"/>
      <c r="G623" s="161" t="str">
        <f>IF(D623&lt;&gt;"","Please check the ‘+’ icon to the left and provide the necessary information","")</f>
        <v/>
      </c>
      <c r="H623" s="5"/>
      <c r="I623" s="29"/>
      <c r="J623" s="5"/>
      <c r="K623" s="5"/>
      <c r="L623" s="5"/>
      <c r="M623" s="5"/>
      <c r="N623" s="5"/>
      <c r="O623" s="5"/>
      <c r="P623" s="5"/>
      <c r="Q623" s="5"/>
      <c r="R623" s="5"/>
      <c r="S623" s="5"/>
      <c r="T623" s="5"/>
      <c r="U623" s="5"/>
      <c r="V623" s="5"/>
      <c r="W623" s="5"/>
      <c r="X623" s="5"/>
      <c r="Y623" s="5"/>
      <c r="Z623" s="5"/>
      <c r="AA623" s="67"/>
      <c r="AB623" s="5"/>
      <c r="AC623" s="5"/>
      <c r="AD623" s="5"/>
      <c r="AE623" s="5"/>
      <c r="AF623" s="5"/>
      <c r="AG623" s="5"/>
      <c r="AH623" s="5"/>
      <c r="AI623" s="5"/>
      <c r="AJ623" s="5"/>
      <c r="AK623" s="5"/>
      <c r="AL623" s="5"/>
      <c r="AM623" s="23"/>
      <c r="AO623" s="3" t="str">
        <f>back!K36</f>
        <v>25M</v>
      </c>
    </row>
    <row r="624" spans="1:41" x14ac:dyDescent="0.2">
      <c r="A624" s="11"/>
      <c r="B624" s="11"/>
      <c r="C624" s="5"/>
      <c r="D624" s="5"/>
      <c r="E624" s="7"/>
      <c r="F624" s="29" t="s">
        <v>15</v>
      </c>
      <c r="G624" s="61" t="s">
        <v>369</v>
      </c>
      <c r="H624" s="5"/>
      <c r="I624" s="29"/>
      <c r="J624" s="5"/>
      <c r="K624" s="5"/>
      <c r="L624" s="70"/>
      <c r="M624" s="70"/>
      <c r="N624" s="70"/>
      <c r="O624" s="70"/>
      <c r="P624" s="5"/>
      <c r="Q624" s="5"/>
      <c r="R624" s="5" t="s">
        <v>370</v>
      </c>
      <c r="S624" s="37"/>
      <c r="T624" s="37"/>
      <c r="U624" s="37"/>
      <c r="V624" s="37"/>
      <c r="W624" s="37"/>
      <c r="X624" s="37"/>
      <c r="Y624" s="2"/>
      <c r="Z624" s="130"/>
      <c r="AA624" s="131"/>
      <c r="AB624" s="131"/>
      <c r="AC624" s="132"/>
      <c r="AD624" s="37"/>
      <c r="AE624" s="37"/>
      <c r="AF624" s="37"/>
      <c r="AG624" s="37"/>
      <c r="AH624" s="37"/>
      <c r="AI624" s="5"/>
      <c r="AJ624" s="5"/>
      <c r="AK624" s="5"/>
      <c r="AL624" s="5"/>
      <c r="AM624" s="23"/>
      <c r="AO624" s="3" t="str">
        <f>back!K37</f>
        <v>30M</v>
      </c>
    </row>
    <row r="625" spans="1:56" x14ac:dyDescent="0.2">
      <c r="A625" s="11"/>
      <c r="B625" s="11"/>
      <c r="C625" s="5"/>
      <c r="D625" s="5"/>
      <c r="E625" s="7"/>
      <c r="F625" s="29"/>
      <c r="G625" s="61"/>
      <c r="H625" s="5"/>
      <c r="I625" s="29"/>
      <c r="J625" s="5"/>
      <c r="K625" s="29"/>
      <c r="L625" s="29"/>
      <c r="M625" s="29"/>
      <c r="N625" s="29"/>
      <c r="O625" s="29"/>
      <c r="P625" s="5"/>
      <c r="Q625" s="5"/>
      <c r="R625" s="5" t="s">
        <v>371</v>
      </c>
      <c r="S625" s="37"/>
      <c r="T625" s="37"/>
      <c r="U625" s="37"/>
      <c r="V625" s="37"/>
      <c r="W625" s="37"/>
      <c r="X625" s="37"/>
      <c r="Y625" s="189"/>
      <c r="Z625" s="127"/>
      <c r="AA625" s="127"/>
      <c r="AB625" s="127"/>
      <c r="AC625" s="127"/>
      <c r="AD625" s="127"/>
      <c r="AE625" s="127"/>
      <c r="AF625" s="127"/>
      <c r="AG625" s="127"/>
      <c r="AH625" s="127"/>
      <c r="AI625" s="5"/>
      <c r="AJ625" s="5"/>
      <c r="AK625" s="5"/>
      <c r="AL625" s="5"/>
      <c r="AM625" s="23"/>
      <c r="AO625" s="3" t="str">
        <f>back!K38</f>
        <v>34M</v>
      </c>
    </row>
    <row r="626" spans="1:56" x14ac:dyDescent="0.2">
      <c r="A626" s="11"/>
      <c r="B626" s="11"/>
      <c r="C626" s="5"/>
      <c r="D626" s="5"/>
      <c r="E626" s="7"/>
      <c r="F626" s="29"/>
      <c r="G626" s="61"/>
      <c r="H626" s="5"/>
      <c r="I626" s="29"/>
      <c r="J626" s="5"/>
      <c r="K626" s="29"/>
      <c r="L626" s="29"/>
      <c r="M626" s="29"/>
      <c r="N626" s="29"/>
      <c r="O626" s="29"/>
      <c r="P626" s="5"/>
      <c r="Q626" s="5"/>
      <c r="R626" s="5"/>
      <c r="S626" s="5"/>
      <c r="T626" s="5"/>
      <c r="U626" s="5"/>
      <c r="V626" s="5"/>
      <c r="W626" s="5"/>
      <c r="X626" s="5"/>
      <c r="Y626" s="5"/>
      <c r="Z626" s="5"/>
      <c r="AA626" s="67"/>
      <c r="AB626" s="5"/>
      <c r="AC626" s="5"/>
      <c r="AD626" s="5"/>
      <c r="AE626" s="5"/>
      <c r="AF626" s="5"/>
      <c r="AG626" s="5"/>
      <c r="AH626" s="5"/>
      <c r="AI626" s="5"/>
      <c r="AJ626" s="5"/>
      <c r="AK626" s="5"/>
      <c r="AL626" s="5"/>
      <c r="AM626" s="23"/>
    </row>
    <row r="627" spans="1:56" x14ac:dyDescent="0.2">
      <c r="A627" s="36"/>
      <c r="B627" s="36"/>
      <c r="C627" s="37"/>
      <c r="D627" s="31"/>
      <c r="E627" s="44"/>
      <c r="F627" s="190"/>
      <c r="G627" s="5" t="s">
        <v>372</v>
      </c>
      <c r="H627" s="191"/>
      <c r="I627" s="191"/>
      <c r="J627" s="191"/>
      <c r="K627" s="191"/>
      <c r="L627" s="191"/>
      <c r="M627" s="28"/>
      <c r="N627" s="61" t="s">
        <v>373</v>
      </c>
      <c r="O627" s="191"/>
      <c r="P627" s="28"/>
      <c r="Q627" s="5" t="s">
        <v>374</v>
      </c>
      <c r="R627" s="191"/>
      <c r="S627" s="140"/>
      <c r="T627" s="37"/>
      <c r="U627" s="37"/>
      <c r="V627" s="37"/>
      <c r="W627" s="37"/>
      <c r="X627" s="37"/>
      <c r="Y627" s="189"/>
      <c r="Z627" s="37"/>
      <c r="AA627" s="37"/>
      <c r="AB627" s="37"/>
      <c r="AC627" s="37"/>
      <c r="AD627" s="37"/>
      <c r="AE627" s="37"/>
      <c r="AF627" s="37"/>
      <c r="AG627" s="37"/>
      <c r="AH627" s="37"/>
      <c r="AI627" s="37"/>
      <c r="AJ627" s="37"/>
      <c r="AK627" s="37"/>
      <c r="AL627" s="37"/>
      <c r="AM627" s="192"/>
      <c r="AO627" s="3"/>
      <c r="AP627" s="3"/>
      <c r="AQ627" s="3"/>
      <c r="AR627" s="3"/>
      <c r="AS627" s="3"/>
      <c r="AT627" s="3"/>
      <c r="AU627" s="3"/>
      <c r="AV627" s="3"/>
      <c r="AW627" s="3"/>
      <c r="AX627" s="3"/>
      <c r="AY627" s="3"/>
      <c r="AZ627" s="3"/>
      <c r="BA627" s="3"/>
      <c r="BB627" s="3"/>
      <c r="BC627" s="3"/>
      <c r="BD627" s="3"/>
    </row>
    <row r="628" spans="1:56" x14ac:dyDescent="0.2">
      <c r="A628" s="36"/>
      <c r="B628" s="36"/>
      <c r="C628" s="37"/>
      <c r="D628" s="31"/>
      <c r="E628" s="44"/>
      <c r="F628" s="190"/>
      <c r="G628" s="191"/>
      <c r="H628" s="191"/>
      <c r="I628" s="191"/>
      <c r="J628" s="191"/>
      <c r="K628" s="191"/>
      <c r="L628" s="191"/>
      <c r="M628" s="191"/>
      <c r="N628" s="191"/>
      <c r="O628" s="191"/>
      <c r="P628" s="191"/>
      <c r="Q628" s="191"/>
      <c r="R628" s="191"/>
      <c r="S628" s="140"/>
      <c r="T628" s="37"/>
      <c r="U628" s="37"/>
      <c r="V628" s="37"/>
      <c r="W628" s="37"/>
      <c r="X628" s="37"/>
      <c r="Y628" s="189"/>
      <c r="Z628" s="37"/>
      <c r="AA628" s="37"/>
      <c r="AB628" s="37"/>
      <c r="AC628" s="37"/>
      <c r="AD628" s="37"/>
      <c r="AE628" s="37"/>
      <c r="AF628" s="37"/>
      <c r="AG628" s="37"/>
      <c r="AH628" s="37"/>
      <c r="AI628" s="37"/>
      <c r="AJ628" s="37"/>
      <c r="AK628" s="37"/>
      <c r="AL628" s="37"/>
      <c r="AM628" s="192"/>
    </row>
    <row r="629" spans="1:56" x14ac:dyDescent="0.2">
      <c r="A629" s="36"/>
      <c r="B629" s="36"/>
      <c r="C629" s="37"/>
      <c r="D629" s="31"/>
      <c r="E629" s="44"/>
      <c r="F629" s="190"/>
      <c r="G629" s="191"/>
      <c r="H629" s="191"/>
      <c r="I629" s="191"/>
      <c r="J629" s="191"/>
      <c r="K629" s="191"/>
      <c r="L629" s="191"/>
      <c r="M629" s="191"/>
      <c r="N629" s="191"/>
      <c r="O629" s="191"/>
      <c r="P629" s="61" t="s">
        <v>375</v>
      </c>
      <c r="Q629" s="191"/>
      <c r="R629" s="191"/>
      <c r="S629" s="193"/>
      <c r="T629" s="169"/>
      <c r="U629" s="169"/>
      <c r="V629" s="169"/>
      <c r="W629" s="169"/>
      <c r="X629" s="169"/>
      <c r="Y629" s="169"/>
      <c r="Z629" s="169"/>
      <c r="AA629" s="37"/>
      <c r="AB629" s="37"/>
      <c r="AC629" s="37"/>
      <c r="AD629" s="37"/>
      <c r="AE629" s="37"/>
      <c r="AF629" s="37"/>
      <c r="AG629" s="37"/>
      <c r="AH629" s="37"/>
      <c r="AI629" s="37"/>
      <c r="AJ629" s="37"/>
      <c r="AK629" s="37"/>
      <c r="AL629" s="37"/>
      <c r="AM629" s="192"/>
    </row>
    <row r="630" spans="1:56" x14ac:dyDescent="0.2">
      <c r="A630" s="11"/>
      <c r="B630" s="11"/>
      <c r="C630" s="5"/>
      <c r="D630" s="5"/>
      <c r="E630" s="7"/>
      <c r="F630" s="29"/>
      <c r="G630" s="134"/>
      <c r="H630" s="21"/>
      <c r="I630" s="172"/>
      <c r="J630" s="21"/>
      <c r="K630" s="172"/>
      <c r="L630" s="172"/>
      <c r="M630" s="172"/>
      <c r="N630" s="172"/>
      <c r="O630" s="172"/>
      <c r="P630" s="21"/>
      <c r="Q630" s="21"/>
      <c r="R630" s="21"/>
      <c r="S630" s="5"/>
      <c r="T630" s="5"/>
      <c r="U630" s="5"/>
      <c r="V630" s="5"/>
      <c r="W630" s="5"/>
      <c r="X630" s="5"/>
      <c r="Y630" s="5"/>
      <c r="Z630" s="5"/>
      <c r="AA630" s="67"/>
      <c r="AB630" s="5"/>
      <c r="AC630" s="5"/>
      <c r="AD630" s="5"/>
      <c r="AE630" s="5"/>
      <c r="AF630" s="5"/>
      <c r="AG630" s="5"/>
      <c r="AH630" s="5"/>
      <c r="AI630" s="5"/>
      <c r="AJ630" s="5"/>
      <c r="AK630" s="5"/>
      <c r="AL630" s="5"/>
      <c r="AM630" s="23"/>
    </row>
    <row r="631" spans="1:56" x14ac:dyDescent="0.2">
      <c r="A631" s="11"/>
      <c r="B631" s="11"/>
      <c r="C631" s="5"/>
      <c r="D631" s="5"/>
      <c r="E631" s="7"/>
      <c r="F631" s="29"/>
      <c r="G631" s="134"/>
      <c r="H631" s="21"/>
      <c r="I631" s="172"/>
      <c r="J631" s="21"/>
      <c r="K631" s="172"/>
      <c r="L631" s="172"/>
      <c r="M631" s="172"/>
      <c r="N631" s="172"/>
      <c r="O631" s="172"/>
      <c r="P631" s="21"/>
      <c r="Q631" s="21"/>
      <c r="R631" s="21"/>
      <c r="S631" s="5"/>
      <c r="T631" s="5"/>
      <c r="U631" s="5"/>
      <c r="V631" s="5"/>
      <c r="W631" s="5"/>
      <c r="X631" s="5"/>
      <c r="Y631" s="5"/>
      <c r="Z631" s="5"/>
      <c r="AA631" s="67"/>
      <c r="AB631" s="5"/>
      <c r="AC631" s="5"/>
      <c r="AD631" s="5"/>
      <c r="AE631" s="5"/>
      <c r="AF631" s="5"/>
      <c r="AG631" s="5"/>
      <c r="AH631" s="5"/>
      <c r="AI631" s="5"/>
      <c r="AJ631" s="5"/>
      <c r="AK631" s="5"/>
      <c r="AL631" s="5"/>
      <c r="AM631" s="23"/>
    </row>
    <row r="632" spans="1:56" x14ac:dyDescent="0.2">
      <c r="A632" s="11"/>
      <c r="B632" s="11"/>
      <c r="C632" s="5"/>
      <c r="D632" s="28"/>
      <c r="E632" s="7" t="s">
        <v>376</v>
      </c>
      <c r="F632" s="31"/>
      <c r="G632" s="161" t="str">
        <f>IF(D632&lt;&gt;"","Please check the ‘+’ icon to the left and provide the necessary information","")</f>
        <v/>
      </c>
      <c r="H632" s="5"/>
      <c r="I632" s="29"/>
      <c r="J632" s="5"/>
      <c r="K632" s="5"/>
      <c r="L632" s="5"/>
      <c r="M632" s="5"/>
      <c r="N632" s="5"/>
      <c r="O632" s="5"/>
      <c r="P632" s="5"/>
      <c r="Q632" s="5"/>
      <c r="R632" s="5"/>
      <c r="S632" s="5"/>
      <c r="T632" s="5"/>
      <c r="U632" s="5"/>
      <c r="V632" s="5"/>
      <c r="W632" s="5"/>
      <c r="X632" s="5"/>
      <c r="Y632" s="5"/>
      <c r="Z632" s="5"/>
      <c r="AA632" s="67"/>
      <c r="AB632" s="5"/>
      <c r="AC632" s="5"/>
      <c r="AD632" s="5"/>
      <c r="AE632" s="5"/>
      <c r="AF632" s="5"/>
      <c r="AG632" s="5"/>
      <c r="AH632" s="5"/>
      <c r="AI632" s="5"/>
      <c r="AJ632" s="5"/>
      <c r="AK632" s="5"/>
      <c r="AL632" s="5"/>
      <c r="AM632" s="23"/>
    </row>
    <row r="633" spans="1:56" x14ac:dyDescent="0.2">
      <c r="A633" s="11"/>
      <c r="B633" s="11"/>
      <c r="C633" s="5"/>
      <c r="D633" s="7"/>
      <c r="E633" s="7"/>
      <c r="F633" s="29" t="s">
        <v>15</v>
      </c>
      <c r="G633" s="5" t="s">
        <v>377</v>
      </c>
      <c r="H633" s="5"/>
      <c r="I633" s="5"/>
      <c r="J633" s="5"/>
      <c r="K633" s="5"/>
      <c r="L633" s="70"/>
      <c r="M633" s="70"/>
      <c r="N633" s="70"/>
      <c r="O633" s="70"/>
      <c r="P633" s="5"/>
      <c r="Q633" s="5"/>
      <c r="R633" s="5" t="s">
        <v>370</v>
      </c>
      <c r="S633" s="5"/>
      <c r="T633" s="5"/>
      <c r="U633" s="5"/>
      <c r="V633" s="5"/>
      <c r="W633" s="5"/>
      <c r="X633" s="5"/>
      <c r="Z633" s="130"/>
      <c r="AA633" s="131"/>
      <c r="AB633" s="131"/>
      <c r="AC633" s="132"/>
      <c r="AD633" s="5"/>
      <c r="AE633" s="5"/>
      <c r="AF633" s="5"/>
      <c r="AG633" s="5"/>
      <c r="AH633" s="5"/>
      <c r="AI633" s="5"/>
      <c r="AJ633" s="5"/>
      <c r="AK633" s="5"/>
      <c r="AL633" s="5"/>
      <c r="AM633" s="23"/>
    </row>
    <row r="634" spans="1:56" x14ac:dyDescent="0.2">
      <c r="A634" s="11"/>
      <c r="B634" s="11"/>
      <c r="C634" s="5"/>
      <c r="D634" s="7"/>
      <c r="E634" s="7"/>
      <c r="F634" s="29"/>
      <c r="G634" s="5"/>
      <c r="H634" s="5"/>
      <c r="I634" s="5"/>
      <c r="J634" s="5"/>
      <c r="K634" s="5"/>
      <c r="L634" s="5"/>
      <c r="M634" s="5"/>
      <c r="N634" s="5"/>
      <c r="O634" s="5"/>
      <c r="P634" s="5"/>
      <c r="Q634" s="5"/>
      <c r="R634" s="5" t="s">
        <v>371</v>
      </c>
      <c r="S634" s="5"/>
      <c r="T634" s="5"/>
      <c r="U634" s="5"/>
      <c r="V634" s="5"/>
      <c r="W634" s="5"/>
      <c r="X634" s="5"/>
      <c r="Y634" s="67"/>
      <c r="Z634" s="127"/>
      <c r="AA634" s="127"/>
      <c r="AB634" s="127"/>
      <c r="AC634" s="127"/>
      <c r="AD634" s="127"/>
      <c r="AE634" s="127"/>
      <c r="AF634" s="127"/>
      <c r="AG634" s="127"/>
      <c r="AH634" s="127"/>
      <c r="AI634" s="5"/>
      <c r="AJ634" s="5"/>
      <c r="AK634" s="5"/>
      <c r="AL634" s="5"/>
      <c r="AM634" s="23"/>
    </row>
    <row r="635" spans="1:56" x14ac:dyDescent="0.2">
      <c r="A635" s="11"/>
      <c r="B635" s="11"/>
      <c r="C635" s="5"/>
      <c r="D635" s="7"/>
      <c r="E635" s="7"/>
      <c r="F635" s="29"/>
      <c r="G635" s="5"/>
      <c r="H635" s="5"/>
      <c r="I635" s="5"/>
      <c r="J635" s="5"/>
      <c r="K635" s="5"/>
      <c r="L635" s="5"/>
      <c r="M635" s="5"/>
      <c r="N635" s="5"/>
      <c r="O635" s="5"/>
      <c r="P635" s="5"/>
      <c r="Q635" s="5"/>
      <c r="R635" s="5"/>
      <c r="S635" s="5"/>
      <c r="T635" s="5"/>
      <c r="U635" s="5"/>
      <c r="V635" s="5"/>
      <c r="W635" s="5"/>
      <c r="X635" s="5"/>
      <c r="Y635" s="5"/>
      <c r="Z635" s="5"/>
      <c r="AA635" s="67"/>
      <c r="AB635" s="5"/>
      <c r="AC635" s="5"/>
      <c r="AD635" s="5"/>
      <c r="AE635" s="5"/>
      <c r="AF635" s="5"/>
      <c r="AG635" s="5"/>
      <c r="AH635" s="5"/>
      <c r="AI635" s="5"/>
      <c r="AJ635" s="5"/>
      <c r="AK635" s="5"/>
      <c r="AL635" s="5"/>
      <c r="AM635" s="23"/>
    </row>
    <row r="636" spans="1:56" x14ac:dyDescent="0.2">
      <c r="A636" s="36"/>
      <c r="B636" s="36"/>
      <c r="C636" s="37"/>
      <c r="D636" s="31"/>
      <c r="E636" s="44"/>
      <c r="F636" s="190"/>
      <c r="G636" s="5" t="s">
        <v>372</v>
      </c>
      <c r="H636" s="5"/>
      <c r="I636" s="5"/>
      <c r="J636" s="5"/>
      <c r="K636" s="5"/>
      <c r="L636" s="5"/>
      <c r="M636" s="28"/>
      <c r="N636" s="61" t="s">
        <v>373</v>
      </c>
      <c r="O636" s="140"/>
      <c r="P636" s="194"/>
      <c r="Q636" s="5" t="s">
        <v>374</v>
      </c>
      <c r="R636" s="140"/>
      <c r="S636" s="37"/>
      <c r="T636" s="37"/>
      <c r="U636" s="37"/>
      <c r="V636" s="37"/>
      <c r="W636" s="37"/>
      <c r="X636" s="37"/>
      <c r="Y636" s="189"/>
      <c r="Z636" s="37"/>
      <c r="AA636" s="37"/>
      <c r="AB636" s="37"/>
      <c r="AC636" s="37"/>
      <c r="AD636" s="37"/>
      <c r="AE636" s="37"/>
      <c r="AF636" s="37"/>
      <c r="AG636" s="37"/>
      <c r="AH636" s="37"/>
      <c r="AI636" s="37"/>
      <c r="AJ636" s="37"/>
      <c r="AK636" s="37"/>
      <c r="AL636" s="37"/>
      <c r="AM636" s="192"/>
      <c r="AO636" s="3"/>
      <c r="AP636" s="3"/>
      <c r="AQ636" s="3"/>
      <c r="AR636" s="3"/>
      <c r="AS636" s="3"/>
      <c r="AT636" s="3"/>
      <c r="AU636" s="3"/>
      <c r="AV636" s="3"/>
      <c r="AW636" s="3"/>
      <c r="AX636" s="3"/>
      <c r="AY636" s="3"/>
      <c r="AZ636" s="3"/>
      <c r="BA636" s="3"/>
      <c r="BB636" s="3"/>
      <c r="BC636" s="3"/>
      <c r="BD636" s="3"/>
    </row>
    <row r="637" spans="1:56" x14ac:dyDescent="0.2">
      <c r="A637" s="36"/>
      <c r="B637" s="36"/>
      <c r="C637" s="37"/>
      <c r="D637" s="31"/>
      <c r="E637" s="44"/>
      <c r="F637" s="190"/>
      <c r="G637" s="191"/>
      <c r="H637" s="191"/>
      <c r="I637" s="191"/>
      <c r="J637" s="191"/>
      <c r="K637" s="191"/>
      <c r="L637" s="191"/>
      <c r="M637" s="191"/>
      <c r="N637" s="191"/>
      <c r="O637" s="191"/>
      <c r="P637" s="191"/>
      <c r="Q637" s="191"/>
      <c r="R637" s="140"/>
      <c r="S637" s="37"/>
      <c r="T637" s="37"/>
      <c r="U637" s="37"/>
      <c r="V637" s="37"/>
      <c r="W637" s="37"/>
      <c r="X637" s="37"/>
      <c r="Y637" s="189"/>
      <c r="Z637" s="37"/>
      <c r="AA637" s="37"/>
      <c r="AB637" s="37"/>
      <c r="AC637" s="37"/>
      <c r="AD637" s="37"/>
      <c r="AE637" s="37"/>
      <c r="AF637" s="37"/>
      <c r="AG637" s="37"/>
      <c r="AH637" s="37"/>
      <c r="AI637" s="37"/>
      <c r="AJ637" s="37"/>
      <c r="AK637" s="37"/>
      <c r="AL637" s="37"/>
      <c r="AM637" s="192"/>
    </row>
    <row r="638" spans="1:56" x14ac:dyDescent="0.2">
      <c r="A638" s="36"/>
      <c r="B638" s="36"/>
      <c r="C638" s="37"/>
      <c r="D638" s="31"/>
      <c r="E638" s="44"/>
      <c r="F638" s="190"/>
      <c r="G638" s="191"/>
      <c r="H638" s="191"/>
      <c r="I638" s="191"/>
      <c r="J638" s="191"/>
      <c r="K638" s="191"/>
      <c r="L638" s="191"/>
      <c r="M638" s="191"/>
      <c r="N638" s="191"/>
      <c r="O638" s="191"/>
      <c r="P638" s="61" t="s">
        <v>375</v>
      </c>
      <c r="Q638" s="191"/>
      <c r="R638" s="140"/>
      <c r="S638" s="190"/>
      <c r="T638" s="195"/>
      <c r="U638" s="195"/>
      <c r="V638" s="195"/>
      <c r="W638" s="195"/>
      <c r="X638" s="195"/>
      <c r="Y638" s="195"/>
      <c r="Z638" s="195"/>
      <c r="AA638" s="37"/>
      <c r="AB638" s="37"/>
      <c r="AC638" s="37"/>
      <c r="AD638" s="37"/>
      <c r="AE638" s="37"/>
      <c r="AF638" s="37"/>
      <c r="AG638" s="37"/>
      <c r="AH638" s="37"/>
      <c r="AI638" s="37"/>
      <c r="AJ638" s="37"/>
      <c r="AK638" s="37"/>
      <c r="AL638" s="37"/>
      <c r="AM638" s="192"/>
    </row>
    <row r="639" spans="1:56" x14ac:dyDescent="0.2">
      <c r="A639" s="11"/>
      <c r="B639" s="11"/>
      <c r="C639" s="5"/>
      <c r="D639" s="5"/>
      <c r="E639" s="7"/>
      <c r="F639" s="31"/>
      <c r="G639" s="196"/>
      <c r="H639" s="140"/>
      <c r="I639" s="193"/>
      <c r="J639" s="140"/>
      <c r="K639" s="140"/>
      <c r="L639" s="140"/>
      <c r="M639" s="140"/>
      <c r="N639" s="140"/>
      <c r="O639" s="140"/>
      <c r="P639" s="140"/>
      <c r="Q639" s="140"/>
      <c r="R639" s="140"/>
      <c r="S639" s="5"/>
      <c r="T639" s="5"/>
      <c r="U639" s="5"/>
      <c r="V639" s="5"/>
      <c r="W639" s="5"/>
      <c r="X639" s="5"/>
      <c r="Y639" s="5"/>
      <c r="Z639" s="5"/>
      <c r="AA639" s="67"/>
      <c r="AB639" s="5"/>
      <c r="AC639" s="5"/>
      <c r="AD639" s="5"/>
      <c r="AE639" s="5"/>
      <c r="AF639" s="5"/>
      <c r="AG639" s="5"/>
      <c r="AH639" s="5"/>
      <c r="AI639" s="5"/>
      <c r="AJ639" s="5"/>
      <c r="AK639" s="5"/>
      <c r="AL639" s="5"/>
      <c r="AM639" s="23"/>
    </row>
    <row r="640" spans="1:56" x14ac:dyDescent="0.2">
      <c r="A640" s="11"/>
      <c r="B640" s="11"/>
      <c r="C640" s="5"/>
      <c r="D640" s="28" t="str">
        <f>IF(D40&lt;&gt;"","x","")</f>
        <v/>
      </c>
      <c r="E640" s="7" t="s">
        <v>378</v>
      </c>
      <c r="F640" s="31"/>
      <c r="G640" s="161" t="str">
        <f>IF(D640&lt;&gt;"","Please check the ‘+’ icon to the left and provide the necessary information","")</f>
        <v/>
      </c>
      <c r="H640" s="29"/>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23"/>
    </row>
    <row r="641" spans="1:56" x14ac:dyDescent="0.2">
      <c r="A641" s="11"/>
      <c r="B641" s="11"/>
      <c r="C641" s="5"/>
      <c r="D641" s="31"/>
      <c r="E641" s="7"/>
      <c r="F641" s="29" t="s">
        <v>15</v>
      </c>
      <c r="G641" s="5" t="s">
        <v>377</v>
      </c>
      <c r="H641" s="5"/>
      <c r="I641" s="5"/>
      <c r="J641" s="5"/>
      <c r="K641" s="5"/>
      <c r="L641" s="70" t="str">
        <f>IF('New KR'!B100=1,"12076",IF('New KR'!B100=2,"7224",""))</f>
        <v/>
      </c>
      <c r="M641" s="70"/>
      <c r="N641" s="70"/>
      <c r="O641" s="70"/>
      <c r="P641" s="5"/>
      <c r="Q641" s="5"/>
      <c r="R641" s="179" t="s">
        <v>379</v>
      </c>
      <c r="S641" s="179"/>
      <c r="T641" s="179"/>
      <c r="U641" s="179"/>
      <c r="V641" s="179"/>
      <c r="W641" s="179"/>
      <c r="X641" s="179"/>
      <c r="Y641" s="197"/>
      <c r="Z641" s="176"/>
      <c r="AA641" s="177"/>
      <c r="AB641" s="177"/>
      <c r="AC641" s="178"/>
      <c r="AD641" s="37" t="str">
        <f>IF(D40&lt;&gt;"","For DCA this will be configured during Installation","")</f>
        <v/>
      </c>
      <c r="AE641" s="179"/>
      <c r="AF641" s="179"/>
      <c r="AG641" s="179"/>
      <c r="AH641" s="179"/>
      <c r="AI641" s="5"/>
      <c r="AJ641" s="5"/>
      <c r="AK641" s="5"/>
      <c r="AL641" s="5"/>
      <c r="AM641" s="23"/>
    </row>
    <row r="642" spans="1:56" x14ac:dyDescent="0.2">
      <c r="A642" s="11"/>
      <c r="B642" s="11"/>
      <c r="C642" s="5"/>
      <c r="D642" s="31"/>
      <c r="E642" s="7"/>
      <c r="F642" s="29"/>
      <c r="G642" s="5"/>
      <c r="H642" s="5"/>
      <c r="I642" s="5"/>
      <c r="J642" s="5"/>
      <c r="K642" s="5"/>
      <c r="L642" s="5"/>
      <c r="M642" s="5"/>
      <c r="N642" s="5"/>
      <c r="O642" s="5"/>
      <c r="P642" s="5"/>
      <c r="Q642" s="5"/>
      <c r="R642" s="179" t="s">
        <v>380</v>
      </c>
      <c r="S642" s="179"/>
      <c r="T642" s="179"/>
      <c r="U642" s="179"/>
      <c r="V642" s="179"/>
      <c r="W642" s="179"/>
      <c r="X642" s="179"/>
      <c r="Y642" s="198"/>
      <c r="Z642" s="180"/>
      <c r="AA642" s="180"/>
      <c r="AB642" s="180"/>
      <c r="AC642" s="180"/>
      <c r="AD642" s="180"/>
      <c r="AE642" s="180"/>
      <c r="AF642" s="180"/>
      <c r="AG642" s="180"/>
      <c r="AH642" s="180"/>
      <c r="AI642" s="5"/>
      <c r="AJ642" s="5"/>
      <c r="AK642" s="5"/>
      <c r="AL642" s="5"/>
      <c r="AM642" s="23"/>
    </row>
    <row r="643" spans="1:56" x14ac:dyDescent="0.2">
      <c r="A643" s="11"/>
      <c r="B643" s="11"/>
      <c r="C643" s="5"/>
      <c r="D643" s="31"/>
      <c r="E643" s="7"/>
      <c r="F643" s="29"/>
      <c r="G643" s="5"/>
      <c r="H643" s="5"/>
      <c r="I643" s="5"/>
      <c r="J643" s="5"/>
      <c r="K643" s="5"/>
      <c r="L643" s="5"/>
      <c r="M643" s="5"/>
      <c r="N643" s="5"/>
      <c r="O643" s="5"/>
      <c r="P643" s="5"/>
      <c r="Q643" s="5"/>
      <c r="R643" s="5"/>
      <c r="S643" s="5"/>
      <c r="T643" s="5"/>
      <c r="U643" s="5"/>
      <c r="V643" s="5"/>
      <c r="W643" s="5"/>
      <c r="X643" s="5"/>
      <c r="Y643" s="67"/>
      <c r="Z643" s="5"/>
      <c r="AA643" s="5"/>
      <c r="AB643" s="5"/>
      <c r="AC643" s="5"/>
      <c r="AD643" s="5"/>
      <c r="AE643" s="5"/>
      <c r="AF643" s="5"/>
      <c r="AG643" s="5"/>
      <c r="AH643" s="5"/>
      <c r="AI643" s="5"/>
      <c r="AJ643" s="5"/>
      <c r="AK643" s="5"/>
      <c r="AL643" s="5"/>
      <c r="AM643" s="23"/>
    </row>
    <row r="644" spans="1:56" x14ac:dyDescent="0.2">
      <c r="A644" s="11"/>
      <c r="B644" s="11"/>
      <c r="C644" s="5"/>
      <c r="D644" s="31"/>
      <c r="E644" s="7"/>
      <c r="F644" s="29" t="s">
        <v>15</v>
      </c>
      <c r="G644" s="5" t="s">
        <v>381</v>
      </c>
      <c r="H644" s="5"/>
      <c r="I644" s="5"/>
      <c r="J644" s="5"/>
      <c r="K644" s="5"/>
      <c r="L644" s="5"/>
      <c r="M644" s="28"/>
      <c r="N644" s="61" t="s">
        <v>25</v>
      </c>
      <c r="O644" s="5"/>
      <c r="P644" s="28" t="str">
        <f>IF(D40&lt;&gt;"","x","")</f>
        <v/>
      </c>
      <c r="Q644" s="5" t="s">
        <v>27</v>
      </c>
      <c r="R644" s="5"/>
      <c r="S644" s="5"/>
      <c r="T644" s="5"/>
      <c r="U644" s="5"/>
      <c r="V644" s="5"/>
      <c r="W644" s="5"/>
      <c r="X644" s="5"/>
      <c r="Y644" s="67"/>
      <c r="Z644" s="5"/>
      <c r="AA644" s="5"/>
      <c r="AB644" s="5"/>
      <c r="AC644" s="5"/>
      <c r="AD644" s="5"/>
      <c r="AE644" s="5"/>
      <c r="AF644" s="5"/>
      <c r="AG644" s="5"/>
      <c r="AH644" s="5"/>
      <c r="AI644" s="5"/>
      <c r="AJ644" s="5"/>
      <c r="AK644" s="5"/>
      <c r="AL644" s="5"/>
      <c r="AM644" s="23"/>
    </row>
    <row r="645" spans="1:56" x14ac:dyDescent="0.2">
      <c r="A645" s="11"/>
      <c r="B645" s="11"/>
      <c r="C645" s="5"/>
      <c r="D645" s="31"/>
      <c r="E645" s="7"/>
      <c r="F645" s="29"/>
      <c r="G645" s="5"/>
      <c r="H645" s="5"/>
      <c r="I645" s="5"/>
      <c r="J645" s="5"/>
      <c r="K645" s="5"/>
      <c r="L645" s="5"/>
      <c r="M645" s="5"/>
      <c r="N645" s="5"/>
      <c r="O645" s="5"/>
      <c r="P645" s="5"/>
      <c r="Q645" s="5"/>
      <c r="R645" s="5"/>
      <c r="S645" s="5"/>
      <c r="T645" s="5"/>
      <c r="U645" s="5"/>
      <c r="V645" s="5"/>
      <c r="W645" s="5"/>
      <c r="X645" s="5"/>
      <c r="Y645" s="67"/>
      <c r="Z645" s="5"/>
      <c r="AA645" s="5"/>
      <c r="AB645" s="5"/>
      <c r="AC645" s="5"/>
      <c r="AD645" s="5"/>
      <c r="AE645" s="5"/>
      <c r="AF645" s="5"/>
      <c r="AG645" s="5"/>
      <c r="AH645" s="5"/>
      <c r="AI645" s="5"/>
      <c r="AJ645" s="5"/>
      <c r="AK645" s="5"/>
      <c r="AL645" s="5"/>
      <c r="AM645" s="23"/>
    </row>
    <row r="646" spans="1:56" x14ac:dyDescent="0.2">
      <c r="A646" s="36"/>
      <c r="B646" s="36"/>
      <c r="C646" s="37"/>
      <c r="D646" s="31"/>
      <c r="E646" s="44"/>
      <c r="F646" s="190"/>
      <c r="G646" s="37"/>
      <c r="H646" s="37"/>
      <c r="I646" s="37"/>
      <c r="J646" s="37"/>
      <c r="K646" s="37"/>
      <c r="L646" s="37"/>
      <c r="M646" s="37"/>
      <c r="N646" s="37"/>
      <c r="O646" s="37"/>
      <c r="P646" s="37"/>
      <c r="Q646" s="37"/>
      <c r="R646" s="37"/>
      <c r="S646" s="37"/>
      <c r="T646" s="37"/>
      <c r="U646" s="37"/>
      <c r="V646" s="37"/>
      <c r="W646" s="37"/>
      <c r="X646" s="37"/>
      <c r="Y646" s="189"/>
      <c r="Z646" s="37"/>
      <c r="AA646" s="37"/>
      <c r="AB646" s="37"/>
      <c r="AC646" s="37"/>
      <c r="AD646" s="37"/>
      <c r="AE646" s="37"/>
      <c r="AF646" s="37"/>
      <c r="AG646" s="37"/>
      <c r="AH646" s="37"/>
      <c r="AI646" s="37"/>
      <c r="AJ646" s="37"/>
      <c r="AK646" s="37"/>
      <c r="AL646" s="37"/>
      <c r="AM646" s="192"/>
      <c r="AO646" s="3"/>
      <c r="AP646" s="3"/>
      <c r="AQ646" s="3"/>
      <c r="AR646" s="3"/>
      <c r="AS646" s="3"/>
      <c r="AT646" s="3"/>
      <c r="AU646" s="3"/>
      <c r="AV646" s="3"/>
      <c r="AW646" s="3"/>
      <c r="AX646" s="3"/>
      <c r="AY646" s="3"/>
      <c r="AZ646" s="3"/>
      <c r="BA646" s="3"/>
      <c r="BB646" s="3"/>
      <c r="BC646" s="3"/>
      <c r="BD646" s="3"/>
    </row>
    <row r="647" spans="1:56" x14ac:dyDescent="0.2">
      <c r="A647" s="36"/>
      <c r="B647" s="36"/>
      <c r="C647" s="37"/>
      <c r="D647" s="31"/>
      <c r="E647" s="44"/>
      <c r="F647" s="190"/>
      <c r="G647" s="5" t="s">
        <v>372</v>
      </c>
      <c r="H647" s="191"/>
      <c r="I647" s="191"/>
      <c r="J647" s="191"/>
      <c r="K647" s="191"/>
      <c r="L647" s="191"/>
      <c r="M647" s="28" t="str">
        <f>IF(D40&lt;&gt;"","x","")</f>
        <v/>
      </c>
      <c r="N647" s="61" t="s">
        <v>373</v>
      </c>
      <c r="O647" s="191"/>
      <c r="P647" s="28"/>
      <c r="Q647" s="5" t="s">
        <v>374</v>
      </c>
      <c r="R647" s="140"/>
      <c r="S647" s="37"/>
      <c r="T647" s="37"/>
      <c r="U647" s="37"/>
      <c r="V647" s="37"/>
      <c r="W647" s="37"/>
      <c r="X647" s="37"/>
      <c r="Y647" s="189"/>
      <c r="Z647" s="37"/>
      <c r="AA647" s="37"/>
      <c r="AB647" s="37"/>
      <c r="AC647" s="37"/>
      <c r="AD647" s="37"/>
      <c r="AE647" s="37"/>
      <c r="AF647" s="37"/>
      <c r="AG647" s="37"/>
      <c r="AH647" s="37"/>
      <c r="AI647" s="37"/>
      <c r="AJ647" s="37"/>
      <c r="AK647" s="37"/>
      <c r="AL647" s="37"/>
      <c r="AM647" s="192"/>
    </row>
    <row r="648" spans="1:56" x14ac:dyDescent="0.2">
      <c r="A648" s="36"/>
      <c r="B648" s="36"/>
      <c r="C648" s="37"/>
      <c r="D648" s="31"/>
      <c r="E648" s="44"/>
      <c r="F648" s="190"/>
      <c r="G648" s="191"/>
      <c r="H648" s="191"/>
      <c r="I648" s="191"/>
      <c r="J648" s="191"/>
      <c r="K648" s="191"/>
      <c r="L648" s="191"/>
      <c r="M648" s="191"/>
      <c r="N648" s="191"/>
      <c r="O648" s="191"/>
      <c r="P648" s="191"/>
      <c r="Q648" s="191"/>
      <c r="R648" s="140"/>
      <c r="S648" s="37"/>
      <c r="T648" s="37"/>
      <c r="U648" s="37"/>
      <c r="V648" s="37"/>
      <c r="W648" s="37"/>
      <c r="X648" s="37"/>
      <c r="Y648" s="189"/>
      <c r="Z648" s="37"/>
      <c r="AA648" s="37"/>
      <c r="AB648" s="37"/>
      <c r="AC648" s="37"/>
      <c r="AD648" s="37"/>
      <c r="AE648" s="37"/>
      <c r="AF648" s="37"/>
      <c r="AG648" s="37"/>
      <c r="AH648" s="37"/>
      <c r="AI648" s="37"/>
      <c r="AJ648" s="37"/>
      <c r="AK648" s="37"/>
      <c r="AL648" s="37"/>
      <c r="AM648" s="192"/>
    </row>
    <row r="649" spans="1:56" x14ac:dyDescent="0.2">
      <c r="A649" s="36"/>
      <c r="B649" s="36"/>
      <c r="C649" s="37"/>
      <c r="D649" s="31"/>
      <c r="E649" s="44"/>
      <c r="F649" s="190"/>
      <c r="G649" s="191"/>
      <c r="H649" s="191"/>
      <c r="I649" s="191"/>
      <c r="J649" s="191"/>
      <c r="K649" s="191"/>
      <c r="L649" s="191"/>
      <c r="M649" s="191"/>
      <c r="N649" s="191"/>
      <c r="O649" s="191"/>
      <c r="P649" s="61" t="s">
        <v>375</v>
      </c>
      <c r="Q649" s="191"/>
      <c r="R649" s="140"/>
      <c r="S649" s="190"/>
      <c r="T649" s="195"/>
      <c r="U649" s="195"/>
      <c r="V649" s="195"/>
      <c r="W649" s="195"/>
      <c r="X649" s="195"/>
      <c r="Y649" s="195"/>
      <c r="Z649" s="195"/>
      <c r="AA649" s="37"/>
      <c r="AB649" s="37"/>
      <c r="AC649" s="37"/>
      <c r="AD649" s="37"/>
      <c r="AE649" s="37"/>
      <c r="AF649" s="37"/>
      <c r="AG649" s="37"/>
      <c r="AH649" s="37"/>
      <c r="AI649" s="37"/>
      <c r="AJ649" s="37"/>
      <c r="AK649" s="37"/>
      <c r="AL649" s="37"/>
      <c r="AM649" s="192"/>
    </row>
    <row r="650" spans="1:56" x14ac:dyDescent="0.2">
      <c r="A650" s="36"/>
      <c r="B650" s="36"/>
      <c r="C650" s="37"/>
      <c r="D650" s="31"/>
      <c r="E650" s="44"/>
      <c r="F650" s="190"/>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192"/>
    </row>
    <row r="651" spans="1:56" x14ac:dyDescent="0.2">
      <c r="A651" s="11"/>
      <c r="B651" s="11"/>
      <c r="C651" s="5"/>
      <c r="D651" s="31"/>
      <c r="E651" s="7"/>
      <c r="F651" s="29"/>
      <c r="G651" s="5"/>
      <c r="H651" s="5"/>
      <c r="I651" s="5"/>
      <c r="J651" s="5"/>
      <c r="K651" s="5"/>
      <c r="L651" s="5"/>
      <c r="M651" s="5"/>
      <c r="N651" s="5"/>
      <c r="O651" s="5"/>
      <c r="P651" s="5"/>
      <c r="Q651" s="5"/>
      <c r="R651" s="5"/>
      <c r="S651" s="5"/>
      <c r="T651" s="5"/>
      <c r="U651" s="5"/>
      <c r="V651" s="5"/>
      <c r="W651" s="5"/>
      <c r="X651" s="5"/>
      <c r="Y651" s="67"/>
      <c r="Z651" s="5"/>
      <c r="AA651" s="5"/>
      <c r="AB651" s="5"/>
      <c r="AC651" s="5"/>
      <c r="AD651" s="5"/>
      <c r="AE651" s="5"/>
      <c r="AF651" s="5"/>
      <c r="AG651" s="5"/>
      <c r="AH651" s="5"/>
      <c r="AI651" s="5"/>
      <c r="AJ651" s="5"/>
      <c r="AK651" s="5"/>
      <c r="AL651" s="5"/>
      <c r="AM651" s="23"/>
    </row>
    <row r="652" spans="1:56" x14ac:dyDescent="0.2">
      <c r="A652" s="11"/>
      <c r="B652" s="11"/>
      <c r="C652" s="5"/>
      <c r="D652" s="28"/>
      <c r="E652" s="199" t="s">
        <v>382</v>
      </c>
      <c r="F652" s="29"/>
      <c r="G652" s="5"/>
      <c r="H652" s="161" t="str">
        <f>IF(D652&lt;&gt;"","Please check the ‘+’ icon to the left and provide the necessary information","")</f>
        <v/>
      </c>
      <c r="I652" s="5"/>
      <c r="J652" s="5"/>
      <c r="K652" s="5"/>
      <c r="L652" s="5"/>
      <c r="M652" s="5"/>
      <c r="N652" s="5"/>
      <c r="O652" s="5"/>
      <c r="P652" s="5"/>
      <c r="Q652" s="5"/>
      <c r="R652" s="5"/>
      <c r="S652" s="5"/>
      <c r="T652" s="5"/>
      <c r="U652" s="5"/>
      <c r="V652" s="5"/>
      <c r="W652" s="5"/>
      <c r="X652" s="5"/>
      <c r="Y652" s="67"/>
      <c r="Z652" s="5"/>
      <c r="AA652" s="5"/>
      <c r="AB652" s="5"/>
      <c r="AC652" s="5"/>
      <c r="AD652" s="5"/>
      <c r="AE652" s="5"/>
      <c r="AF652" s="5"/>
      <c r="AG652" s="5"/>
      <c r="AH652" s="5"/>
      <c r="AI652" s="5"/>
      <c r="AJ652" s="5"/>
      <c r="AK652" s="5"/>
      <c r="AL652" s="5"/>
      <c r="AM652" s="23"/>
    </row>
    <row r="653" spans="1:56" x14ac:dyDescent="0.2">
      <c r="A653" s="11"/>
      <c r="B653" s="11"/>
      <c r="C653" s="5"/>
      <c r="D653" s="5"/>
      <c r="E653" s="5"/>
      <c r="F653" s="29" t="s">
        <v>15</v>
      </c>
      <c r="G653" s="5" t="s">
        <v>383</v>
      </c>
      <c r="H653" s="5"/>
      <c r="I653" s="5"/>
      <c r="J653" s="5"/>
      <c r="K653" s="5"/>
      <c r="L653" s="5"/>
      <c r="M653" s="5"/>
      <c r="N653" s="5"/>
      <c r="O653" s="5"/>
      <c r="P653" s="5"/>
      <c r="Q653" s="5"/>
      <c r="R653" s="5"/>
      <c r="S653" s="5"/>
      <c r="T653" s="5"/>
      <c r="U653" s="5"/>
      <c r="V653" s="5"/>
      <c r="W653" s="5"/>
      <c r="X653" s="5"/>
      <c r="Y653" s="5"/>
      <c r="Z653" s="5"/>
      <c r="AA653" s="67"/>
      <c r="AB653" s="5"/>
      <c r="AC653" s="5"/>
      <c r="AD653" s="5"/>
      <c r="AE653" s="5"/>
      <c r="AF653" s="5"/>
      <c r="AG653" s="5"/>
      <c r="AH653" s="5"/>
      <c r="AI653" s="5"/>
      <c r="AJ653" s="5"/>
      <c r="AK653" s="5"/>
      <c r="AL653" s="5"/>
      <c r="AM653" s="23"/>
    </row>
    <row r="654" spans="1:56" x14ac:dyDescent="0.2">
      <c r="A654" s="11"/>
      <c r="B654" s="11"/>
      <c r="C654" s="5"/>
      <c r="D654" s="5"/>
      <c r="E654" s="5"/>
      <c r="F654" s="5" t="s">
        <v>384</v>
      </c>
      <c r="G654" s="5"/>
      <c r="H654" s="5"/>
      <c r="I654" s="5" t="s">
        <v>385</v>
      </c>
      <c r="J654" s="5"/>
      <c r="K654" s="130"/>
      <c r="L654" s="131"/>
      <c r="M654" s="131"/>
      <c r="N654" s="132"/>
      <c r="O654" s="5"/>
      <c r="P654" s="5" t="s">
        <v>139</v>
      </c>
      <c r="Q654" s="5"/>
      <c r="R654" s="130"/>
      <c r="S654" s="131"/>
      <c r="T654" s="131"/>
      <c r="U654" s="132"/>
      <c r="V654" s="5"/>
      <c r="W654" s="5" t="s">
        <v>386</v>
      </c>
      <c r="X654" s="5"/>
      <c r="Y654" s="130"/>
      <c r="Z654" s="131"/>
      <c r="AA654" s="131"/>
      <c r="AB654" s="132"/>
      <c r="AC654" s="5"/>
      <c r="AD654" s="5"/>
      <c r="AE654" s="5"/>
      <c r="AF654" s="5"/>
      <c r="AG654" s="5"/>
      <c r="AH654" s="5"/>
      <c r="AI654" s="5"/>
      <c r="AJ654" s="5"/>
      <c r="AK654" s="5"/>
      <c r="AL654" s="5"/>
      <c r="AM654" s="23"/>
    </row>
    <row r="655" spans="1:56" x14ac:dyDescent="0.2">
      <c r="A655" s="11"/>
      <c r="B655" s="11"/>
      <c r="C655" s="5"/>
      <c r="D655" s="5"/>
      <c r="E655" s="5"/>
      <c r="F655" s="200" t="s">
        <v>387</v>
      </c>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23"/>
    </row>
    <row r="656" spans="1:56" x14ac:dyDescent="0.2">
      <c r="A656" s="11"/>
      <c r="B656" s="11"/>
      <c r="C656" s="5"/>
      <c r="D656" s="5"/>
      <c r="E656" s="5"/>
      <c r="F656" s="5" t="s">
        <v>388</v>
      </c>
      <c r="G656" s="5"/>
      <c r="H656" s="5"/>
      <c r="I656" s="5" t="s">
        <v>385</v>
      </c>
      <c r="J656" s="5"/>
      <c r="K656" s="130"/>
      <c r="L656" s="131"/>
      <c r="M656" s="131"/>
      <c r="N656" s="132"/>
      <c r="O656" s="5"/>
      <c r="P656" s="5" t="s">
        <v>139</v>
      </c>
      <c r="Q656" s="5"/>
      <c r="R656" s="130"/>
      <c r="S656" s="131"/>
      <c r="T656" s="131"/>
      <c r="U656" s="132"/>
      <c r="V656" s="5"/>
      <c r="W656" s="5" t="s">
        <v>386</v>
      </c>
      <c r="X656" s="5"/>
      <c r="Y656" s="130"/>
      <c r="Z656" s="131"/>
      <c r="AA656" s="131"/>
      <c r="AB656" s="132"/>
      <c r="AC656" s="5"/>
      <c r="AD656" s="5"/>
      <c r="AE656" s="5"/>
      <c r="AF656" s="5"/>
      <c r="AG656" s="5"/>
      <c r="AH656" s="5"/>
      <c r="AI656" s="5"/>
      <c r="AJ656" s="5"/>
      <c r="AK656" s="5"/>
      <c r="AL656" s="5"/>
      <c r="AM656" s="23"/>
    </row>
    <row r="657" spans="1:56" x14ac:dyDescent="0.2">
      <c r="A657" s="11"/>
      <c r="B657" s="11"/>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23"/>
    </row>
    <row r="658" spans="1:56" x14ac:dyDescent="0.2">
      <c r="A658" s="11"/>
      <c r="B658" s="11"/>
      <c r="C658" s="5"/>
      <c r="D658" s="5"/>
      <c r="E658" s="5"/>
      <c r="F658" s="5" t="s">
        <v>389</v>
      </c>
      <c r="G658" s="5"/>
      <c r="H658" s="5"/>
      <c r="I658" s="5" t="s">
        <v>385</v>
      </c>
      <c r="J658" s="5"/>
      <c r="K658" s="130"/>
      <c r="L658" s="131"/>
      <c r="M658" s="131"/>
      <c r="N658" s="132"/>
      <c r="O658" s="5"/>
      <c r="P658" s="5" t="s">
        <v>139</v>
      </c>
      <c r="Q658" s="5"/>
      <c r="R658" s="130"/>
      <c r="S658" s="131"/>
      <c r="T658" s="131"/>
      <c r="U658" s="132"/>
      <c r="V658" s="5"/>
      <c r="W658" s="5" t="s">
        <v>386</v>
      </c>
      <c r="X658" s="5"/>
      <c r="Y658" s="130"/>
      <c r="Z658" s="131"/>
      <c r="AA658" s="131"/>
      <c r="AB658" s="132"/>
      <c r="AC658" s="5"/>
      <c r="AD658" s="5"/>
      <c r="AE658" s="5"/>
      <c r="AF658" s="5"/>
      <c r="AG658" s="5"/>
      <c r="AH658" s="5"/>
      <c r="AI658" s="5"/>
      <c r="AJ658" s="5"/>
      <c r="AK658" s="5"/>
      <c r="AL658" s="5"/>
      <c r="AM658" s="23"/>
    </row>
    <row r="659" spans="1:56" x14ac:dyDescent="0.2">
      <c r="A659" s="11"/>
      <c r="B659" s="11"/>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23"/>
    </row>
    <row r="660" spans="1:56" x14ac:dyDescent="0.2">
      <c r="A660" s="11"/>
      <c r="B660" s="11"/>
      <c r="C660" s="5"/>
      <c r="D660" s="5"/>
      <c r="E660" s="5"/>
      <c r="F660" s="5" t="s">
        <v>390</v>
      </c>
      <c r="G660" s="5"/>
      <c r="H660" s="5"/>
      <c r="I660" s="5" t="s">
        <v>385</v>
      </c>
      <c r="J660" s="5"/>
      <c r="K660" s="130"/>
      <c r="L660" s="131"/>
      <c r="M660" s="131"/>
      <c r="N660" s="132"/>
      <c r="O660" s="5"/>
      <c r="P660" s="5" t="s">
        <v>139</v>
      </c>
      <c r="Q660" s="5"/>
      <c r="R660" s="130"/>
      <c r="S660" s="131"/>
      <c r="T660" s="131"/>
      <c r="U660" s="132"/>
      <c r="V660" s="5"/>
      <c r="W660" s="5" t="s">
        <v>386</v>
      </c>
      <c r="X660" s="5"/>
      <c r="Y660" s="130"/>
      <c r="Z660" s="131"/>
      <c r="AA660" s="131"/>
      <c r="AB660" s="132"/>
      <c r="AC660" s="5"/>
      <c r="AD660" s="5"/>
      <c r="AE660" s="5"/>
      <c r="AF660" s="5"/>
      <c r="AG660" s="5"/>
      <c r="AH660" s="5"/>
      <c r="AI660" s="5"/>
      <c r="AJ660" s="5"/>
      <c r="AK660" s="5"/>
      <c r="AL660" s="5"/>
      <c r="AM660" s="23"/>
    </row>
    <row r="661" spans="1:56" x14ac:dyDescent="0.2">
      <c r="A661" s="11"/>
      <c r="B661" s="11"/>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23"/>
    </row>
    <row r="662" spans="1:56" x14ac:dyDescent="0.2">
      <c r="A662" s="11"/>
      <c r="B662" s="11"/>
      <c r="C662" s="5"/>
      <c r="D662" s="5"/>
      <c r="E662" s="5"/>
      <c r="F662" s="5" t="s">
        <v>391</v>
      </c>
      <c r="G662" s="5"/>
      <c r="H662" s="5"/>
      <c r="I662" s="5" t="s">
        <v>385</v>
      </c>
      <c r="J662" s="5"/>
      <c r="K662" s="130"/>
      <c r="L662" s="131"/>
      <c r="M662" s="131"/>
      <c r="N662" s="132"/>
      <c r="O662" s="5"/>
      <c r="P662" s="5" t="s">
        <v>139</v>
      </c>
      <c r="Q662" s="5"/>
      <c r="R662" s="130"/>
      <c r="S662" s="131"/>
      <c r="T662" s="131"/>
      <c r="U662" s="132"/>
      <c r="V662" s="5"/>
      <c r="W662" s="5" t="s">
        <v>386</v>
      </c>
      <c r="X662" s="5"/>
      <c r="Y662" s="130"/>
      <c r="Z662" s="131"/>
      <c r="AA662" s="131"/>
      <c r="AB662" s="132"/>
      <c r="AC662" s="5"/>
      <c r="AD662" s="5"/>
      <c r="AE662" s="5"/>
      <c r="AF662" s="5"/>
      <c r="AG662" s="5"/>
      <c r="AH662" s="5"/>
      <c r="AI662" s="5"/>
      <c r="AJ662" s="5"/>
      <c r="AK662" s="5"/>
      <c r="AL662" s="5"/>
      <c r="AM662" s="23"/>
    </row>
    <row r="663" spans="1:56" x14ac:dyDescent="0.2">
      <c r="A663" s="11"/>
      <c r="B663" s="11"/>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23"/>
    </row>
    <row r="664" spans="1:56" x14ac:dyDescent="0.2">
      <c r="A664" s="36"/>
      <c r="B664" s="36"/>
      <c r="C664" s="37"/>
      <c r="D664" s="27"/>
      <c r="E664" s="199" t="s">
        <v>392</v>
      </c>
      <c r="F664" s="201"/>
      <c r="G664" s="179"/>
      <c r="H664" s="161" t="str">
        <f>IF(D664&lt;&gt;"","Please check the ‘+’ icon to the left and provide the necessary information","")</f>
        <v/>
      </c>
      <c r="I664" s="179"/>
      <c r="J664" s="179"/>
      <c r="K664" s="179"/>
      <c r="L664" s="179"/>
      <c r="M664" s="179"/>
      <c r="N664" s="179"/>
      <c r="O664" s="179"/>
      <c r="P664" s="179"/>
      <c r="Q664" s="179"/>
      <c r="R664" s="179"/>
      <c r="S664" s="179"/>
      <c r="T664" s="179"/>
      <c r="U664" s="179"/>
      <c r="V664" s="179"/>
      <c r="W664" s="179"/>
      <c r="X664" s="179"/>
      <c r="Y664" s="198"/>
      <c r="Z664" s="179"/>
      <c r="AA664" s="179"/>
      <c r="AB664" s="179"/>
      <c r="AC664" s="179"/>
      <c r="AD664" s="179"/>
      <c r="AE664" s="179"/>
      <c r="AF664" s="37"/>
      <c r="AG664" s="37"/>
      <c r="AH664" s="37"/>
      <c r="AI664" s="37"/>
      <c r="AJ664" s="37"/>
      <c r="AK664" s="37"/>
      <c r="AL664" s="37"/>
      <c r="AM664" s="192"/>
      <c r="AO664" s="3"/>
      <c r="AP664" s="3"/>
      <c r="AQ664" s="3"/>
      <c r="AR664" s="3"/>
      <c r="AS664" s="3"/>
      <c r="AT664" s="3"/>
      <c r="AU664" s="3"/>
      <c r="AV664" s="3"/>
      <c r="AW664" s="3"/>
      <c r="AX664" s="3"/>
      <c r="AY664" s="3"/>
      <c r="AZ664" s="3"/>
      <c r="BA664" s="3"/>
      <c r="BB664" s="3"/>
      <c r="BC664" s="3"/>
      <c r="BD664" s="3"/>
    </row>
    <row r="665" spans="1:56" x14ac:dyDescent="0.2">
      <c r="A665" s="36"/>
      <c r="B665" s="36"/>
      <c r="C665" s="37"/>
      <c r="D665" s="37"/>
      <c r="E665" s="179"/>
      <c r="F665" s="201" t="s">
        <v>15</v>
      </c>
      <c r="G665" s="179" t="s">
        <v>383</v>
      </c>
      <c r="H665" s="179"/>
      <c r="I665" s="179"/>
      <c r="J665" s="179"/>
      <c r="K665" s="179"/>
      <c r="L665" s="179"/>
      <c r="M665" s="179"/>
      <c r="N665" s="179"/>
      <c r="O665" s="179"/>
      <c r="P665" s="179"/>
      <c r="Q665" s="179"/>
      <c r="R665" s="179"/>
      <c r="S665" s="179"/>
      <c r="T665" s="179"/>
      <c r="U665" s="179"/>
      <c r="V665" s="179"/>
      <c r="W665" s="179"/>
      <c r="X665" s="179"/>
      <c r="Y665" s="179"/>
      <c r="Z665" s="179"/>
      <c r="AA665" s="198"/>
      <c r="AB665" s="179"/>
      <c r="AC665" s="179"/>
      <c r="AD665" s="179"/>
      <c r="AE665" s="179"/>
      <c r="AF665" s="37"/>
      <c r="AG665" s="37"/>
      <c r="AH665" s="37"/>
      <c r="AI665" s="37"/>
      <c r="AJ665" s="37"/>
      <c r="AK665" s="37"/>
      <c r="AL665" s="37"/>
      <c r="AM665" s="192"/>
      <c r="AO665" s="3">
        <f>back!K78</f>
        <v>0</v>
      </c>
    </row>
    <row r="666" spans="1:56" x14ac:dyDescent="0.2">
      <c r="A666" s="36"/>
      <c r="B666" s="36"/>
      <c r="C666" s="37"/>
      <c r="D666" s="37"/>
      <c r="E666" s="179"/>
      <c r="F666" s="201"/>
      <c r="G666" s="179"/>
      <c r="H666" s="179"/>
      <c r="I666" s="179"/>
      <c r="J666" s="179"/>
      <c r="K666" s="179" t="s">
        <v>385</v>
      </c>
      <c r="L666" s="179"/>
      <c r="M666" s="179"/>
      <c r="N666" s="179"/>
      <c r="O666" s="179"/>
      <c r="P666" s="179"/>
      <c r="Q666" s="179"/>
      <c r="R666" s="179"/>
      <c r="S666" s="179"/>
      <c r="T666" s="197"/>
      <c r="U666" s="179" t="s">
        <v>139</v>
      </c>
      <c r="V666" s="179"/>
      <c r="W666" s="179" t="s">
        <v>386</v>
      </c>
      <c r="X666" s="179"/>
      <c r="Y666" s="179"/>
      <c r="Z666" s="179"/>
      <c r="AA666" s="198"/>
      <c r="AB666" s="179"/>
      <c r="AC666" s="179"/>
      <c r="AD666" s="179"/>
      <c r="AE666" s="179"/>
      <c r="AF666" s="37"/>
      <c r="AG666" s="37"/>
      <c r="AH666" s="37"/>
      <c r="AI666" s="37"/>
      <c r="AJ666" s="37"/>
      <c r="AK666" s="37"/>
      <c r="AL666" s="37"/>
      <c r="AM666" s="192"/>
      <c r="AO666" s="3">
        <f>back!K79</f>
        <v>0</v>
      </c>
    </row>
    <row r="667" spans="1:56" x14ac:dyDescent="0.2">
      <c r="A667" s="36"/>
      <c r="B667" s="36"/>
      <c r="C667" s="37"/>
      <c r="D667" s="37"/>
      <c r="E667" s="179"/>
      <c r="F667" s="179" t="s">
        <v>384</v>
      </c>
      <c r="G667" s="179"/>
      <c r="H667" s="179"/>
      <c r="I667" s="179"/>
      <c r="J667" s="179"/>
      <c r="K667" s="180"/>
      <c r="L667" s="180"/>
      <c r="M667" s="180"/>
      <c r="N667" s="180"/>
      <c r="O667" s="180"/>
      <c r="P667" s="180"/>
      <c r="Q667" s="180"/>
      <c r="R667" s="180"/>
      <c r="S667" s="180"/>
      <c r="T667" s="198" t="s">
        <v>143</v>
      </c>
      <c r="U667" s="202"/>
      <c r="V667" s="179"/>
      <c r="W667" s="180"/>
      <c r="X667" s="180"/>
      <c r="Y667" s="180"/>
      <c r="Z667" s="180"/>
      <c r="AA667" s="180"/>
      <c r="AB667" s="180"/>
      <c r="AC667" s="180"/>
      <c r="AD667" s="180"/>
      <c r="AE667" s="180"/>
      <c r="AH667" s="37"/>
      <c r="AI667" s="37"/>
      <c r="AJ667" s="37"/>
      <c r="AK667" s="37"/>
      <c r="AL667" s="37"/>
      <c r="AM667" s="192"/>
      <c r="AO667" s="3">
        <f>back!K80</f>
        <v>0</v>
      </c>
    </row>
    <row r="668" spans="1:56" x14ac:dyDescent="0.2">
      <c r="A668" s="36"/>
      <c r="B668" s="36"/>
      <c r="C668" s="37"/>
      <c r="D668" s="37"/>
      <c r="E668" s="179"/>
      <c r="F668" s="203" t="s">
        <v>393</v>
      </c>
      <c r="G668" s="179"/>
      <c r="H668" s="179"/>
      <c r="I668" s="179"/>
      <c r="J668" s="179"/>
      <c r="K668" s="179"/>
      <c r="L668" s="179"/>
      <c r="M668" s="179"/>
      <c r="N668" s="179"/>
      <c r="O668" s="179"/>
      <c r="P668" s="179"/>
      <c r="Q668" s="179"/>
      <c r="R668" s="179"/>
      <c r="S668" s="179"/>
      <c r="T668" s="179"/>
      <c r="U668" s="179"/>
      <c r="V668" s="179"/>
      <c r="W668" s="179"/>
      <c r="X668" s="179"/>
      <c r="Y668" s="179"/>
      <c r="Z668" s="179"/>
      <c r="AA668" s="179"/>
      <c r="AB668" s="179"/>
      <c r="AC668" s="179"/>
      <c r="AD668" s="179"/>
      <c r="AE668" s="179"/>
      <c r="AF668" s="37"/>
      <c r="AG668" s="37"/>
      <c r="AH668" s="37"/>
      <c r="AI668" s="37"/>
      <c r="AJ668" s="37"/>
      <c r="AK668" s="37"/>
      <c r="AL668" s="37"/>
      <c r="AM668" s="192"/>
      <c r="AO668" s="3">
        <f>back!K81</f>
        <v>0</v>
      </c>
    </row>
    <row r="669" spans="1:56" x14ac:dyDescent="0.2">
      <c r="A669" s="36"/>
      <c r="B669" s="36"/>
      <c r="C669" s="37"/>
      <c r="D669" s="37"/>
      <c r="E669" s="179"/>
      <c r="F669" s="179" t="s">
        <v>388</v>
      </c>
      <c r="G669" s="179"/>
      <c r="H669" s="179"/>
      <c r="I669" s="179"/>
      <c r="J669" s="179"/>
      <c r="K669" s="180"/>
      <c r="L669" s="180"/>
      <c r="M669" s="180"/>
      <c r="N669" s="180"/>
      <c r="O669" s="180"/>
      <c r="P669" s="180"/>
      <c r="Q669" s="180"/>
      <c r="R669" s="180"/>
      <c r="S669" s="180"/>
      <c r="T669" s="198" t="s">
        <v>143</v>
      </c>
      <c r="U669" s="202"/>
      <c r="V669" s="179"/>
      <c r="W669" s="180"/>
      <c r="X669" s="180"/>
      <c r="Y669" s="180"/>
      <c r="Z669" s="180"/>
      <c r="AA669" s="180"/>
      <c r="AB669" s="180"/>
      <c r="AC669" s="180"/>
      <c r="AD669" s="180"/>
      <c r="AE669" s="180"/>
      <c r="AF669" s="37"/>
      <c r="AG669" s="37"/>
      <c r="AH669" s="37"/>
      <c r="AI669" s="37"/>
      <c r="AJ669" s="37"/>
      <c r="AK669" s="37"/>
      <c r="AL669" s="37"/>
      <c r="AM669" s="192"/>
      <c r="AO669" s="3">
        <f>back!K82</f>
        <v>0</v>
      </c>
    </row>
    <row r="670" spans="1:56" x14ac:dyDescent="0.2">
      <c r="A670" s="36"/>
      <c r="B670" s="36"/>
      <c r="C670" s="37"/>
      <c r="D670" s="37"/>
      <c r="E670" s="179"/>
      <c r="F670" s="203"/>
      <c r="G670" s="179"/>
      <c r="H670" s="179"/>
      <c r="I670" s="179"/>
      <c r="J670" s="179"/>
      <c r="K670" s="179"/>
      <c r="L670" s="179"/>
      <c r="M670" s="179"/>
      <c r="N670" s="179"/>
      <c r="O670" s="179"/>
      <c r="P670" s="179"/>
      <c r="Q670" s="179"/>
      <c r="R670" s="179"/>
      <c r="S670" s="179"/>
      <c r="T670" s="179"/>
      <c r="U670" s="179"/>
      <c r="V670" s="179"/>
      <c r="W670" s="179"/>
      <c r="X670" s="179"/>
      <c r="Y670" s="179"/>
      <c r="Z670" s="179"/>
      <c r="AA670" s="179"/>
      <c r="AB670" s="179"/>
      <c r="AC670" s="179"/>
      <c r="AD670" s="179"/>
      <c r="AE670" s="179"/>
      <c r="AF670" s="37"/>
      <c r="AG670" s="37"/>
      <c r="AH670" s="37"/>
      <c r="AI670" s="37"/>
      <c r="AJ670" s="37"/>
      <c r="AK670" s="37"/>
      <c r="AL670" s="37"/>
      <c r="AM670" s="192"/>
      <c r="AO670" s="3">
        <f>back!K83</f>
        <v>0</v>
      </c>
    </row>
    <row r="671" spans="1:56" x14ac:dyDescent="0.2">
      <c r="A671" s="36"/>
      <c r="B671" s="36"/>
      <c r="C671" s="37"/>
      <c r="D671" s="37"/>
      <c r="E671" s="179"/>
      <c r="F671" s="179" t="s">
        <v>389</v>
      </c>
      <c r="G671" s="179"/>
      <c r="H671" s="179"/>
      <c r="I671" s="179"/>
      <c r="J671" s="179"/>
      <c r="K671" s="180"/>
      <c r="L671" s="180"/>
      <c r="M671" s="180"/>
      <c r="N671" s="180"/>
      <c r="O671" s="180"/>
      <c r="P671" s="180"/>
      <c r="Q671" s="180"/>
      <c r="R671" s="180"/>
      <c r="S671" s="180"/>
      <c r="T671" s="198" t="s">
        <v>143</v>
      </c>
      <c r="U671" s="202"/>
      <c r="V671" s="179"/>
      <c r="W671" s="180"/>
      <c r="X671" s="180"/>
      <c r="Y671" s="180"/>
      <c r="Z671" s="180"/>
      <c r="AA671" s="180"/>
      <c r="AB671" s="180"/>
      <c r="AC671" s="180"/>
      <c r="AD671" s="180"/>
      <c r="AE671" s="180"/>
      <c r="AF671" s="37"/>
      <c r="AG671" s="37"/>
      <c r="AH671" s="37"/>
      <c r="AI671" s="37"/>
      <c r="AJ671" s="37"/>
      <c r="AK671" s="37"/>
      <c r="AL671" s="37"/>
      <c r="AM671" s="192"/>
      <c r="AO671" s="3">
        <f>back!K84</f>
        <v>0</v>
      </c>
    </row>
    <row r="672" spans="1:56" x14ac:dyDescent="0.2">
      <c r="A672" s="36"/>
      <c r="B672" s="36"/>
      <c r="C672" s="37"/>
      <c r="D672" s="37"/>
      <c r="E672" s="179"/>
      <c r="F672" s="203"/>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37"/>
      <c r="AG672" s="37"/>
      <c r="AH672" s="37"/>
      <c r="AI672" s="37"/>
      <c r="AJ672" s="37"/>
      <c r="AK672" s="37"/>
      <c r="AL672" s="37"/>
      <c r="AM672" s="192"/>
      <c r="AO672" s="3">
        <f>back!K85</f>
        <v>0</v>
      </c>
    </row>
    <row r="673" spans="1:41" x14ac:dyDescent="0.2">
      <c r="A673" s="36"/>
      <c r="B673" s="36"/>
      <c r="C673" s="37"/>
      <c r="D673" s="37"/>
      <c r="E673" s="179"/>
      <c r="F673" s="179" t="s">
        <v>390</v>
      </c>
      <c r="G673" s="179"/>
      <c r="H673" s="179"/>
      <c r="I673" s="179"/>
      <c r="J673" s="179"/>
      <c r="K673" s="180"/>
      <c r="L673" s="180"/>
      <c r="M673" s="180"/>
      <c r="N673" s="180"/>
      <c r="O673" s="180"/>
      <c r="P673" s="180"/>
      <c r="Q673" s="180"/>
      <c r="R673" s="180"/>
      <c r="S673" s="180"/>
      <c r="T673" s="198" t="s">
        <v>143</v>
      </c>
      <c r="U673" s="202"/>
      <c r="V673" s="179"/>
      <c r="W673" s="180"/>
      <c r="X673" s="180"/>
      <c r="Y673" s="180"/>
      <c r="Z673" s="180"/>
      <c r="AA673" s="180"/>
      <c r="AB673" s="180"/>
      <c r="AC673" s="180"/>
      <c r="AD673" s="180"/>
      <c r="AE673" s="180"/>
      <c r="AF673" s="37"/>
      <c r="AG673" s="37"/>
      <c r="AH673" s="37"/>
      <c r="AI673" s="37"/>
      <c r="AJ673" s="37"/>
      <c r="AK673" s="37"/>
      <c r="AL673" s="37"/>
      <c r="AM673" s="192"/>
      <c r="AO673" s="3">
        <f>back!K86</f>
        <v>0</v>
      </c>
    </row>
    <row r="674" spans="1:41" x14ac:dyDescent="0.2">
      <c r="A674" s="36"/>
      <c r="B674" s="36"/>
      <c r="C674" s="37"/>
      <c r="D674" s="37"/>
      <c r="E674" s="179"/>
      <c r="F674" s="203"/>
      <c r="G674" s="179"/>
      <c r="H674" s="179"/>
      <c r="I674" s="179"/>
      <c r="J674" s="179"/>
      <c r="K674" s="179"/>
      <c r="L674" s="179"/>
      <c r="M674" s="179"/>
      <c r="N674" s="179"/>
      <c r="O674" s="179"/>
      <c r="P674" s="179"/>
      <c r="Q674" s="179"/>
      <c r="R674" s="179"/>
      <c r="S674" s="179"/>
      <c r="T674" s="179"/>
      <c r="U674" s="179"/>
      <c r="V674" s="179"/>
      <c r="W674" s="179"/>
      <c r="X674" s="179"/>
      <c r="Y674" s="179"/>
      <c r="Z674" s="179"/>
      <c r="AA674" s="179"/>
      <c r="AB674" s="179"/>
      <c r="AC674" s="179"/>
      <c r="AD674" s="179"/>
      <c r="AE674" s="179"/>
      <c r="AF674" s="37"/>
      <c r="AG674" s="37"/>
      <c r="AH674" s="37"/>
      <c r="AI674" s="37"/>
      <c r="AJ674" s="37"/>
      <c r="AK674" s="37"/>
      <c r="AL674" s="37"/>
      <c r="AM674" s="192"/>
      <c r="AO674" s="3">
        <f>back!K87</f>
        <v>0</v>
      </c>
    </row>
    <row r="675" spans="1:41" x14ac:dyDescent="0.2">
      <c r="A675" s="36"/>
      <c r="B675" s="36"/>
      <c r="C675" s="37"/>
      <c r="D675" s="37"/>
      <c r="E675" s="179"/>
      <c r="F675" s="179" t="s">
        <v>391</v>
      </c>
      <c r="G675" s="179"/>
      <c r="H675" s="179"/>
      <c r="I675" s="179"/>
      <c r="J675" s="179"/>
      <c r="K675" s="180"/>
      <c r="L675" s="180"/>
      <c r="M675" s="180"/>
      <c r="N675" s="180"/>
      <c r="O675" s="180"/>
      <c r="P675" s="180"/>
      <c r="Q675" s="180"/>
      <c r="R675" s="180"/>
      <c r="S675" s="180"/>
      <c r="T675" s="198" t="s">
        <v>143</v>
      </c>
      <c r="U675" s="202"/>
      <c r="V675" s="179"/>
      <c r="W675" s="180"/>
      <c r="X675" s="180"/>
      <c r="Y675" s="180"/>
      <c r="Z675" s="180"/>
      <c r="AA675" s="180"/>
      <c r="AB675" s="180"/>
      <c r="AC675" s="180"/>
      <c r="AD675" s="180"/>
      <c r="AE675" s="180"/>
      <c r="AF675" s="37"/>
      <c r="AG675" s="37"/>
      <c r="AH675" s="37"/>
      <c r="AI675" s="37"/>
      <c r="AJ675" s="37"/>
      <c r="AK675" s="37"/>
      <c r="AL675" s="37"/>
      <c r="AM675" s="192"/>
      <c r="AO675" s="3">
        <f>back!K88</f>
        <v>0</v>
      </c>
    </row>
    <row r="676" spans="1:41" x14ac:dyDescent="0.2">
      <c r="A676" s="11"/>
      <c r="B676" s="11"/>
      <c r="C676" s="67"/>
      <c r="D676" s="5"/>
      <c r="E676" s="5"/>
      <c r="F676" s="5"/>
      <c r="G676" s="5"/>
      <c r="H676" s="5"/>
      <c r="I676" s="5"/>
      <c r="J676" s="5"/>
      <c r="K676" s="5"/>
      <c r="L676" s="5"/>
      <c r="M676" s="5"/>
      <c r="N676" s="5"/>
      <c r="O676" s="5"/>
      <c r="P676" s="5"/>
      <c r="Q676" s="5"/>
      <c r="R676" s="5"/>
      <c r="S676" s="5"/>
      <c r="T676" s="5"/>
      <c r="U676" s="5"/>
      <c r="V676" s="5"/>
      <c r="W676" s="5"/>
      <c r="X676" s="5"/>
      <c r="Y676" s="5"/>
      <c r="Z676" s="5"/>
      <c r="AA676" s="5"/>
      <c r="AB676" s="67"/>
      <c r="AC676" s="5"/>
      <c r="AD676" s="5"/>
      <c r="AE676" s="5"/>
      <c r="AF676" s="5"/>
      <c r="AG676" s="5"/>
      <c r="AH676" s="5"/>
      <c r="AI676" s="5"/>
      <c r="AJ676" s="5"/>
      <c r="AK676" s="5"/>
      <c r="AL676" s="5"/>
      <c r="AM676" s="23"/>
    </row>
    <row r="677" spans="1:41" x14ac:dyDescent="0.2">
      <c r="A677" s="11"/>
      <c r="B677" s="11"/>
      <c r="C677" s="21" t="s">
        <v>394</v>
      </c>
      <c r="D677" s="5"/>
      <c r="E677" s="5"/>
      <c r="F677" s="5"/>
      <c r="G677" s="5"/>
      <c r="H677" s="5"/>
      <c r="I677" s="5"/>
      <c r="J677" s="5"/>
      <c r="K677" s="5"/>
      <c r="L677" s="5"/>
      <c r="M677" s="5"/>
      <c r="N677" s="5"/>
      <c r="O677" s="5"/>
      <c r="P677" s="5"/>
      <c r="Q677" s="5"/>
      <c r="R677" s="5"/>
      <c r="S677" s="5"/>
      <c r="T677" s="5"/>
      <c r="U677" s="5"/>
      <c r="V677" s="5"/>
      <c r="W677" s="5"/>
      <c r="X677" s="5"/>
      <c r="Y677" s="5"/>
      <c r="Z677" s="5"/>
      <c r="AA677" s="5"/>
      <c r="AB677" s="67"/>
      <c r="AC677" s="5"/>
      <c r="AD677" s="5"/>
      <c r="AE677" s="5"/>
      <c r="AF677" s="5"/>
      <c r="AG677" s="5"/>
      <c r="AH677" s="5"/>
      <c r="AI677" s="5"/>
      <c r="AJ677" s="5"/>
      <c r="AK677" s="5"/>
      <c r="AL677" s="5"/>
      <c r="AM677" s="23"/>
    </row>
    <row r="678" spans="1:41" x14ac:dyDescent="0.2">
      <c r="A678" s="11"/>
      <c r="B678" s="36"/>
      <c r="C678" s="39" t="s">
        <v>25</v>
      </c>
      <c r="D678" s="27"/>
      <c r="E678" s="39"/>
      <c r="F678" s="39"/>
      <c r="G678" s="39"/>
      <c r="H678" s="39"/>
      <c r="I678" s="37"/>
      <c r="J678" s="37"/>
      <c r="K678" s="5"/>
      <c r="L678" s="13"/>
      <c r="M678" s="37"/>
      <c r="N678" s="37"/>
      <c r="O678" s="37"/>
      <c r="P678" s="37"/>
      <c r="Q678" s="37"/>
      <c r="R678" s="37"/>
      <c r="S678" s="37"/>
      <c r="T678" s="37"/>
      <c r="U678" s="37"/>
      <c r="V678" s="48"/>
      <c r="W678" s="37"/>
      <c r="X678" s="37"/>
      <c r="Y678" s="37"/>
      <c r="Z678" s="37"/>
      <c r="AA678" s="37"/>
      <c r="AB678" s="37"/>
      <c r="AC678" s="37"/>
      <c r="AD678" s="37"/>
      <c r="AE678" s="5"/>
      <c r="AF678" s="5"/>
      <c r="AG678" s="5"/>
      <c r="AH678" s="5"/>
      <c r="AI678" s="5"/>
      <c r="AJ678" s="5"/>
      <c r="AK678" s="5"/>
      <c r="AL678" s="5"/>
      <c r="AM678" s="23"/>
    </row>
    <row r="679" spans="1:41" x14ac:dyDescent="0.2">
      <c r="A679" s="11"/>
      <c r="B679" s="36"/>
      <c r="C679" s="39" t="s">
        <v>27</v>
      </c>
      <c r="D679" s="28" t="s">
        <v>9</v>
      </c>
      <c r="E679" s="41"/>
      <c r="F679" s="49"/>
      <c r="G679" s="49"/>
      <c r="H679" s="49"/>
      <c r="I679" s="37"/>
      <c r="J679" s="37"/>
      <c r="K679" s="5"/>
      <c r="L679" s="13"/>
      <c r="M679" s="37"/>
      <c r="N679" s="37"/>
      <c r="O679" s="37"/>
      <c r="P679" s="37"/>
      <c r="Q679" s="37"/>
      <c r="R679" s="37"/>
      <c r="S679" s="37"/>
      <c r="T679" s="37"/>
      <c r="U679" s="37"/>
      <c r="V679" s="37"/>
      <c r="W679" s="37"/>
      <c r="X679" s="37"/>
      <c r="Y679" s="37"/>
      <c r="Z679" s="37"/>
      <c r="AA679" s="37"/>
      <c r="AB679" s="37"/>
      <c r="AC679" s="37"/>
      <c r="AD679" s="37"/>
      <c r="AE679" s="5"/>
      <c r="AF679" s="5"/>
      <c r="AG679" s="5"/>
      <c r="AH679" s="5"/>
      <c r="AI679" s="5"/>
      <c r="AJ679" s="5"/>
      <c r="AK679" s="5"/>
      <c r="AL679" s="5"/>
      <c r="AM679" s="23"/>
    </row>
    <row r="680" spans="1:41" x14ac:dyDescent="0.2">
      <c r="A680" s="11"/>
      <c r="B680" s="11"/>
      <c r="C680" s="61"/>
      <c r="D680" s="5"/>
      <c r="E680" s="5"/>
      <c r="F680" s="5"/>
      <c r="G680" s="5"/>
      <c r="H680" s="5"/>
      <c r="I680" s="5"/>
      <c r="J680" s="5"/>
      <c r="K680" s="5"/>
      <c r="L680" s="5"/>
      <c r="M680" s="5"/>
      <c r="N680" s="5"/>
      <c r="O680" s="5"/>
      <c r="P680" s="5"/>
      <c r="Q680" s="5"/>
      <c r="R680" s="5"/>
      <c r="S680" s="5"/>
      <c r="T680" s="5"/>
      <c r="U680" s="5"/>
      <c r="V680" s="5"/>
      <c r="W680" s="5"/>
      <c r="X680" s="5"/>
      <c r="Y680" s="5"/>
      <c r="Z680" s="5"/>
      <c r="AA680" s="5"/>
      <c r="AB680" s="67"/>
      <c r="AC680" s="5"/>
      <c r="AD680" s="5"/>
      <c r="AE680" s="5"/>
      <c r="AF680" s="5"/>
      <c r="AG680" s="5"/>
      <c r="AH680" s="5"/>
      <c r="AI680" s="5"/>
      <c r="AJ680" s="5"/>
      <c r="AK680" s="5"/>
      <c r="AL680" s="5"/>
      <c r="AM680" s="23"/>
    </row>
    <row r="681" spans="1:41" x14ac:dyDescent="0.2">
      <c r="A681" s="11"/>
      <c r="B681" s="11"/>
      <c r="C681" s="134" t="s">
        <v>395</v>
      </c>
      <c r="D681" s="5"/>
      <c r="E681" s="5"/>
      <c r="F681" s="5"/>
      <c r="G681" s="5"/>
      <c r="H681" s="5"/>
      <c r="I681" s="5"/>
      <c r="J681" s="5"/>
      <c r="K681" s="5"/>
      <c r="L681" s="5"/>
      <c r="M681" s="5"/>
      <c r="N681" s="5"/>
      <c r="O681" s="5"/>
      <c r="P681" s="5"/>
      <c r="Q681" s="5"/>
      <c r="R681" s="5"/>
      <c r="S681" s="5"/>
      <c r="T681" s="5"/>
      <c r="U681" s="5"/>
      <c r="V681" s="5"/>
      <c r="W681" s="5"/>
      <c r="X681" s="5"/>
      <c r="Y681" s="5"/>
      <c r="Z681" s="5"/>
      <c r="AA681" s="5"/>
      <c r="AB681" s="67"/>
      <c r="AC681" s="5"/>
      <c r="AD681" s="5"/>
      <c r="AE681" s="5"/>
      <c r="AF681" s="5"/>
      <c r="AG681" s="5"/>
      <c r="AH681" s="5"/>
      <c r="AI681" s="5"/>
      <c r="AJ681" s="5"/>
      <c r="AK681" s="5"/>
      <c r="AL681" s="5"/>
      <c r="AM681" s="23"/>
    </row>
    <row r="682" spans="1:41" x14ac:dyDescent="0.2">
      <c r="A682" s="11"/>
      <c r="B682" s="11"/>
      <c r="C682" s="39" t="s">
        <v>25</v>
      </c>
      <c r="D682" s="27"/>
      <c r="E682" s="39" t="str">
        <f>IF(D682&lt;&gt;"","Please check the ‘+’ icon to the left and provide the necessary information. Note: Port Address Translation (PAT) is bespoke!","")</f>
        <v/>
      </c>
      <c r="F682" s="5"/>
      <c r="G682" s="5"/>
      <c r="H682" s="5"/>
      <c r="I682" s="5"/>
      <c r="J682" s="5"/>
      <c r="K682" s="5"/>
      <c r="L682" s="5"/>
      <c r="M682" s="5"/>
      <c r="N682" s="5"/>
      <c r="O682" s="5"/>
      <c r="P682" s="5"/>
      <c r="Q682" s="5"/>
      <c r="R682" s="5"/>
      <c r="S682" s="5"/>
      <c r="T682" s="5"/>
      <c r="U682" s="5"/>
      <c r="V682" s="5"/>
      <c r="W682" s="5"/>
      <c r="X682" s="5"/>
      <c r="Y682" s="5"/>
      <c r="Z682" s="5"/>
      <c r="AA682" s="5"/>
      <c r="AB682" s="67"/>
      <c r="AC682" s="5"/>
      <c r="AD682" s="5"/>
      <c r="AE682" s="5"/>
      <c r="AF682" s="5"/>
      <c r="AG682" s="5"/>
      <c r="AH682" s="5"/>
      <c r="AI682" s="5"/>
      <c r="AJ682" s="5"/>
      <c r="AK682" s="5"/>
      <c r="AL682" s="5"/>
      <c r="AM682" s="23"/>
    </row>
    <row r="683" spans="1:41" x14ac:dyDescent="0.2">
      <c r="A683" s="11"/>
      <c r="B683" s="11"/>
      <c r="C683" s="39" t="s">
        <v>27</v>
      </c>
      <c r="D683" s="28" t="s">
        <v>9</v>
      </c>
      <c r="E683" s="5"/>
      <c r="F683" s="5"/>
      <c r="G683" s="5"/>
      <c r="H683" s="5"/>
      <c r="I683" s="5"/>
      <c r="J683" s="5"/>
      <c r="K683" s="5"/>
      <c r="L683" s="5"/>
      <c r="M683" s="5"/>
      <c r="N683" s="5"/>
      <c r="O683" s="5"/>
      <c r="P683" s="5"/>
      <c r="Q683" s="5"/>
      <c r="R683" s="5"/>
      <c r="S683" s="5"/>
      <c r="T683" s="5"/>
      <c r="U683" s="5"/>
      <c r="V683" s="5"/>
      <c r="W683" s="5"/>
      <c r="X683" s="5"/>
      <c r="Y683" s="5"/>
      <c r="Z683" s="5"/>
      <c r="AA683" s="5"/>
      <c r="AB683" s="67"/>
      <c r="AC683" s="5"/>
      <c r="AD683" s="5"/>
      <c r="AE683" s="5"/>
      <c r="AF683" s="5"/>
      <c r="AG683" s="5"/>
      <c r="AH683" s="5"/>
      <c r="AI683" s="5"/>
      <c r="AJ683" s="5"/>
      <c r="AK683" s="5"/>
      <c r="AL683" s="5"/>
      <c r="AM683" s="23"/>
    </row>
    <row r="684" spans="1:41" x14ac:dyDescent="0.2">
      <c r="A684" s="11"/>
      <c r="B684" s="11"/>
      <c r="C684" s="61"/>
      <c r="D684" s="5"/>
      <c r="E684" s="5"/>
      <c r="F684" s="5"/>
      <c r="G684" s="5"/>
      <c r="H684" s="5"/>
      <c r="I684" s="5"/>
      <c r="J684" s="5"/>
      <c r="K684" s="5"/>
      <c r="L684" s="5"/>
      <c r="M684" s="5"/>
      <c r="N684" s="5"/>
      <c r="O684" s="5"/>
      <c r="P684" s="5"/>
      <c r="Q684" s="5"/>
      <c r="R684" s="5"/>
      <c r="S684" s="5"/>
      <c r="T684" s="5"/>
      <c r="U684" s="5"/>
      <c r="V684" s="5"/>
      <c r="W684" s="5"/>
      <c r="X684" s="5"/>
      <c r="Y684" s="5"/>
      <c r="Z684" s="5"/>
      <c r="AA684" s="5"/>
      <c r="AB684" s="67"/>
      <c r="AC684" s="5"/>
      <c r="AD684" s="5"/>
      <c r="AE684" s="5"/>
      <c r="AF684" s="5"/>
      <c r="AG684" s="5"/>
      <c r="AH684" s="5"/>
      <c r="AI684" s="5"/>
      <c r="AJ684" s="5"/>
      <c r="AK684" s="5"/>
      <c r="AL684" s="5"/>
      <c r="AM684" s="23"/>
    </row>
    <row r="685" spans="1:41" x14ac:dyDescent="0.2">
      <c r="A685" s="11"/>
      <c r="B685" s="11"/>
      <c r="C685" s="61"/>
      <c r="D685" s="27"/>
      <c r="E685" s="5" t="s">
        <v>396</v>
      </c>
      <c r="F685" s="5"/>
      <c r="G685" s="5"/>
      <c r="H685" s="5"/>
      <c r="I685" s="5"/>
      <c r="J685" s="5"/>
      <c r="K685" s="5"/>
      <c r="L685" s="5"/>
      <c r="M685" s="5"/>
      <c r="N685" s="5"/>
      <c r="O685" s="5"/>
      <c r="P685" s="5"/>
      <c r="Q685" s="5"/>
      <c r="R685" s="5"/>
      <c r="S685" s="5"/>
      <c r="T685" s="5"/>
      <c r="U685" s="5"/>
      <c r="V685" s="5"/>
      <c r="W685" s="5"/>
      <c r="X685" s="5"/>
      <c r="Y685" s="5"/>
      <c r="Z685" s="5"/>
      <c r="AA685" s="5"/>
      <c r="AB685" s="67"/>
      <c r="AC685" s="5"/>
      <c r="AD685" s="5"/>
      <c r="AE685" s="5"/>
      <c r="AF685" s="5"/>
      <c r="AG685" s="5"/>
      <c r="AH685" s="5"/>
      <c r="AI685" s="5"/>
      <c r="AJ685" s="5"/>
      <c r="AK685" s="5"/>
      <c r="AL685" s="5"/>
      <c r="AM685" s="23"/>
    </row>
    <row r="686" spans="1:41" x14ac:dyDescent="0.2">
      <c r="A686" s="11"/>
      <c r="B686" s="11"/>
      <c r="C686" s="61"/>
      <c r="D686" s="28"/>
      <c r="E686" s="5" t="s">
        <v>397</v>
      </c>
      <c r="F686" s="5"/>
      <c r="G686" s="5"/>
      <c r="H686" s="5"/>
      <c r="I686" s="5"/>
      <c r="J686" s="5"/>
      <c r="K686" s="5"/>
      <c r="L686" s="5"/>
      <c r="M686" s="5"/>
      <c r="N686" s="5"/>
      <c r="O686" s="5"/>
      <c r="P686" s="5"/>
      <c r="Q686" s="5"/>
      <c r="R686" s="5"/>
      <c r="S686" s="5"/>
      <c r="T686" s="5"/>
      <c r="U686" s="5"/>
      <c r="V686" s="5"/>
      <c r="W686" s="5"/>
      <c r="X686" s="5"/>
      <c r="Y686" s="5"/>
      <c r="Z686" s="5"/>
      <c r="AA686" s="5"/>
      <c r="AB686" s="67"/>
      <c r="AC686" s="5"/>
      <c r="AD686" s="5"/>
      <c r="AE686" s="5"/>
      <c r="AF686" s="5"/>
      <c r="AG686" s="5"/>
      <c r="AH686" s="5"/>
      <c r="AI686" s="5"/>
      <c r="AJ686" s="5"/>
      <c r="AK686" s="5"/>
      <c r="AL686" s="5"/>
      <c r="AM686" s="23"/>
    </row>
    <row r="687" spans="1:41" x14ac:dyDescent="0.2">
      <c r="A687" s="11"/>
      <c r="B687" s="11"/>
      <c r="C687" s="61"/>
      <c r="G687" s="5"/>
      <c r="H687" s="5"/>
      <c r="I687" s="5"/>
      <c r="J687" s="5"/>
      <c r="K687" s="5"/>
      <c r="L687" s="5"/>
      <c r="M687" s="5"/>
      <c r="N687" s="5"/>
      <c r="O687" s="5"/>
      <c r="P687" s="5"/>
      <c r="Q687" s="5"/>
      <c r="R687" s="5"/>
      <c r="S687" s="5"/>
      <c r="T687" s="5"/>
      <c r="U687" s="5"/>
      <c r="V687" s="5"/>
      <c r="W687" s="5"/>
      <c r="X687" s="5"/>
      <c r="Y687" s="5"/>
      <c r="Z687" s="5"/>
      <c r="AA687" s="5"/>
      <c r="AB687" s="67"/>
      <c r="AC687" s="5"/>
      <c r="AD687" s="5"/>
      <c r="AE687" s="5"/>
      <c r="AF687" s="5"/>
      <c r="AG687" s="5"/>
      <c r="AH687" s="5"/>
      <c r="AI687" s="5"/>
      <c r="AJ687" s="5"/>
      <c r="AK687" s="5"/>
      <c r="AL687" s="5"/>
      <c r="AM687" s="23"/>
    </row>
    <row r="688" spans="1:41" x14ac:dyDescent="0.2">
      <c r="A688" s="11"/>
      <c r="B688" s="11"/>
      <c r="C688" s="61"/>
      <c r="D688" s="7" t="s">
        <v>398</v>
      </c>
      <c r="E688" s="5"/>
      <c r="F688" s="5"/>
      <c r="G688" s="5"/>
      <c r="I688" s="7" t="s">
        <v>399</v>
      </c>
      <c r="K688" s="5"/>
      <c r="L688" s="5"/>
      <c r="M688" s="5"/>
      <c r="N688" s="5"/>
      <c r="O688" s="5"/>
      <c r="P688" s="5"/>
      <c r="Q688" s="5"/>
      <c r="R688" s="5"/>
      <c r="S688" s="5"/>
      <c r="T688" s="5"/>
      <c r="U688" s="5"/>
      <c r="V688" s="5"/>
      <c r="W688" s="5"/>
      <c r="X688" s="5"/>
      <c r="Y688" s="5"/>
      <c r="Z688" s="5"/>
      <c r="AA688" s="5"/>
      <c r="AB688" s="67"/>
      <c r="AC688" s="5"/>
      <c r="AD688" s="5"/>
      <c r="AE688" s="5"/>
      <c r="AF688" s="5"/>
      <c r="AG688" s="5"/>
      <c r="AH688" s="5"/>
      <c r="AI688" s="5"/>
      <c r="AJ688" s="5"/>
      <c r="AK688" s="5"/>
      <c r="AL688" s="5"/>
      <c r="AM688" s="23"/>
    </row>
    <row r="689" spans="1:39" ht="15" x14ac:dyDescent="0.2">
      <c r="A689" s="11"/>
      <c r="B689" s="11"/>
      <c r="C689" s="61"/>
      <c r="D689" s="204"/>
      <c r="E689" s="177"/>
      <c r="F689" s="204"/>
      <c r="G689" s="205"/>
      <c r="I689" s="204"/>
      <c r="J689" s="177"/>
      <c r="K689" s="204"/>
      <c r="L689" s="205"/>
      <c r="M689" s="5"/>
      <c r="N689" s="5"/>
      <c r="O689" s="5"/>
      <c r="P689" s="5"/>
      <c r="Q689" s="5"/>
      <c r="R689" s="5"/>
      <c r="S689" s="5"/>
      <c r="T689" s="5"/>
      <c r="U689" s="5"/>
      <c r="V689" s="5"/>
      <c r="W689" s="5"/>
      <c r="X689" s="5"/>
      <c r="Y689" s="5"/>
      <c r="Z689" s="5"/>
      <c r="AA689" s="5"/>
      <c r="AB689" s="67"/>
      <c r="AC689" s="5"/>
      <c r="AD689" s="5"/>
      <c r="AE689" s="5"/>
      <c r="AF689" s="5"/>
      <c r="AG689" s="5"/>
      <c r="AH689" s="5"/>
      <c r="AI689" s="5"/>
      <c r="AJ689" s="5"/>
      <c r="AK689" s="5"/>
      <c r="AL689" s="5"/>
      <c r="AM689" s="23"/>
    </row>
    <row r="690" spans="1:39" ht="15" x14ac:dyDescent="0.2">
      <c r="A690" s="11"/>
      <c r="B690" s="11"/>
      <c r="C690" s="61"/>
      <c r="D690" s="204"/>
      <c r="E690" s="177"/>
      <c r="F690" s="204"/>
      <c r="G690" s="205"/>
      <c r="I690" s="204"/>
      <c r="J690" s="177"/>
      <c r="K690" s="204"/>
      <c r="L690" s="205"/>
      <c r="M690" s="5"/>
      <c r="N690" s="5"/>
      <c r="O690" s="5"/>
      <c r="P690" s="5"/>
      <c r="Q690" s="5"/>
      <c r="R690" s="5"/>
      <c r="S690" s="5"/>
      <c r="T690" s="5"/>
      <c r="U690" s="5"/>
      <c r="V690" s="5"/>
      <c r="W690" s="5"/>
      <c r="X690" s="5"/>
      <c r="Y690" s="5"/>
      <c r="Z690" s="5"/>
      <c r="AA690" s="5"/>
      <c r="AB690" s="67"/>
      <c r="AC690" s="5"/>
      <c r="AD690" s="5"/>
      <c r="AE690" s="5"/>
      <c r="AF690" s="5"/>
      <c r="AG690" s="5"/>
      <c r="AH690" s="5"/>
      <c r="AI690" s="5"/>
      <c r="AJ690" s="5"/>
      <c r="AK690" s="5"/>
      <c r="AL690" s="5"/>
      <c r="AM690" s="23"/>
    </row>
    <row r="691" spans="1:39" ht="15" x14ac:dyDescent="0.2">
      <c r="A691" s="11"/>
      <c r="B691" s="11"/>
      <c r="C691" s="61"/>
      <c r="D691" s="204"/>
      <c r="E691" s="177"/>
      <c r="F691" s="204"/>
      <c r="G691" s="205"/>
      <c r="I691" s="204"/>
      <c r="J691" s="177"/>
      <c r="K691" s="204"/>
      <c r="L691" s="205"/>
      <c r="M691" s="5"/>
      <c r="N691" s="5"/>
      <c r="O691" s="5"/>
      <c r="P691" s="5"/>
      <c r="Q691" s="5"/>
      <c r="R691" s="5"/>
      <c r="S691" s="5"/>
      <c r="T691" s="5"/>
      <c r="U691" s="5"/>
      <c r="V691" s="5"/>
      <c r="W691" s="5"/>
      <c r="X691" s="5"/>
      <c r="Y691" s="5"/>
      <c r="Z691" s="5"/>
      <c r="AA691" s="5"/>
      <c r="AB691" s="67"/>
      <c r="AC691" s="5"/>
      <c r="AD691" s="5"/>
      <c r="AE691" s="5"/>
      <c r="AF691" s="5"/>
      <c r="AG691" s="5"/>
      <c r="AH691" s="5"/>
      <c r="AI691" s="5"/>
      <c r="AJ691" s="5"/>
      <c r="AK691" s="5"/>
      <c r="AL691" s="5"/>
      <c r="AM691" s="23"/>
    </row>
    <row r="692" spans="1:39" ht="15" x14ac:dyDescent="0.2">
      <c r="A692" s="11"/>
      <c r="B692" s="11"/>
      <c r="C692" s="61"/>
      <c r="D692" s="204"/>
      <c r="E692" s="177"/>
      <c r="F692" s="204"/>
      <c r="G692" s="205"/>
      <c r="I692" s="204"/>
      <c r="J692" s="177"/>
      <c r="K692" s="204"/>
      <c r="L692" s="205"/>
      <c r="M692" s="5"/>
      <c r="N692" s="5"/>
      <c r="O692" s="5"/>
      <c r="P692" s="5"/>
      <c r="Q692" s="5"/>
      <c r="R692" s="5"/>
      <c r="S692" s="5"/>
      <c r="T692" s="5"/>
      <c r="U692" s="5"/>
      <c r="V692" s="5"/>
      <c r="W692" s="5"/>
      <c r="X692" s="5"/>
      <c r="Y692" s="5"/>
      <c r="Z692" s="5"/>
      <c r="AA692" s="5"/>
      <c r="AB692" s="67"/>
      <c r="AC692" s="5"/>
      <c r="AD692" s="5"/>
      <c r="AE692" s="5"/>
      <c r="AF692" s="5"/>
      <c r="AG692" s="5"/>
      <c r="AH692" s="5"/>
      <c r="AI692" s="5"/>
      <c r="AJ692" s="5"/>
      <c r="AK692" s="5"/>
      <c r="AL692" s="5"/>
      <c r="AM692" s="23"/>
    </row>
    <row r="693" spans="1:39" ht="15" x14ac:dyDescent="0.2">
      <c r="A693" s="11"/>
      <c r="B693" s="11"/>
      <c r="C693" s="61"/>
      <c r="D693" s="204"/>
      <c r="E693" s="177"/>
      <c r="F693" s="204"/>
      <c r="G693" s="205"/>
      <c r="I693" s="204"/>
      <c r="J693" s="177"/>
      <c r="K693" s="204"/>
      <c r="L693" s="205"/>
      <c r="M693" s="5"/>
      <c r="N693" s="5"/>
      <c r="O693" s="5"/>
      <c r="P693" s="5"/>
      <c r="Q693" s="5"/>
      <c r="R693" s="5"/>
      <c r="S693" s="5"/>
      <c r="T693" s="5"/>
      <c r="U693" s="5"/>
      <c r="V693" s="5"/>
      <c r="W693" s="5"/>
      <c r="X693" s="5"/>
      <c r="Y693" s="5"/>
      <c r="Z693" s="5"/>
      <c r="AA693" s="5"/>
      <c r="AB693" s="67"/>
      <c r="AC693" s="5"/>
      <c r="AD693" s="5"/>
      <c r="AE693" s="5"/>
      <c r="AF693" s="5"/>
      <c r="AG693" s="5"/>
      <c r="AH693" s="5"/>
      <c r="AI693" s="5"/>
      <c r="AJ693" s="5"/>
      <c r="AK693" s="5"/>
      <c r="AL693" s="5"/>
      <c r="AM693" s="23"/>
    </row>
    <row r="694" spans="1:39" ht="15" x14ac:dyDescent="0.2">
      <c r="A694" s="11"/>
      <c r="B694" s="11"/>
      <c r="C694" s="61"/>
      <c r="D694" s="204"/>
      <c r="E694" s="177"/>
      <c r="F694" s="204"/>
      <c r="G694" s="205"/>
      <c r="I694" s="204"/>
      <c r="J694" s="177"/>
      <c r="K694" s="204"/>
      <c r="L694" s="205"/>
      <c r="M694" s="5"/>
      <c r="N694" s="5"/>
      <c r="O694" s="5"/>
      <c r="P694" s="5"/>
      <c r="Q694" s="5"/>
      <c r="R694" s="5"/>
      <c r="S694" s="5"/>
      <c r="T694" s="5"/>
      <c r="U694" s="5"/>
      <c r="V694" s="5"/>
      <c r="W694" s="5"/>
      <c r="X694" s="5"/>
      <c r="Y694" s="5"/>
      <c r="Z694" s="5"/>
      <c r="AA694" s="5"/>
      <c r="AB694" s="67"/>
      <c r="AC694" s="5"/>
      <c r="AD694" s="5"/>
      <c r="AE694" s="5"/>
      <c r="AF694" s="5"/>
      <c r="AG694" s="5"/>
      <c r="AH694" s="5"/>
      <c r="AI694" s="5"/>
      <c r="AJ694" s="5"/>
      <c r="AK694" s="5"/>
      <c r="AL694" s="5"/>
      <c r="AM694" s="23"/>
    </row>
    <row r="695" spans="1:39" ht="15" x14ac:dyDescent="0.2">
      <c r="A695" s="11"/>
      <c r="B695" s="11"/>
      <c r="C695" s="61"/>
      <c r="D695" s="204"/>
      <c r="E695" s="177"/>
      <c r="F695" s="204"/>
      <c r="G695" s="205"/>
      <c r="I695" s="204"/>
      <c r="J695" s="177"/>
      <c r="K695" s="204"/>
      <c r="L695" s="205"/>
      <c r="M695" s="5"/>
      <c r="N695" s="5"/>
      <c r="O695" s="5"/>
      <c r="P695" s="5"/>
      <c r="Q695" s="5"/>
      <c r="R695" s="5"/>
      <c r="S695" s="5"/>
      <c r="T695" s="5"/>
      <c r="U695" s="5"/>
      <c r="V695" s="5"/>
      <c r="W695" s="5"/>
      <c r="X695" s="5"/>
      <c r="Y695" s="5"/>
      <c r="Z695" s="5"/>
      <c r="AA695" s="5"/>
      <c r="AB695" s="67"/>
      <c r="AC695" s="5"/>
      <c r="AD695" s="5"/>
      <c r="AE695" s="5"/>
      <c r="AF695" s="5"/>
      <c r="AG695" s="5"/>
      <c r="AH695" s="5"/>
      <c r="AI695" s="5"/>
      <c r="AJ695" s="5"/>
      <c r="AK695" s="5"/>
      <c r="AL695" s="5"/>
      <c r="AM695" s="23"/>
    </row>
    <row r="696" spans="1:39" ht="15" x14ac:dyDescent="0.2">
      <c r="A696" s="11"/>
      <c r="B696" s="11"/>
      <c r="C696" s="61"/>
      <c r="D696" s="204"/>
      <c r="E696" s="177"/>
      <c r="F696" s="204"/>
      <c r="G696" s="205"/>
      <c r="I696" s="204"/>
      <c r="J696" s="177"/>
      <c r="K696" s="204"/>
      <c r="L696" s="205"/>
      <c r="M696" s="5"/>
      <c r="N696" s="5"/>
      <c r="O696" s="5"/>
      <c r="P696" s="5"/>
      <c r="Q696" s="5"/>
      <c r="R696" s="5"/>
      <c r="S696" s="5"/>
      <c r="T696" s="5"/>
      <c r="U696" s="5"/>
      <c r="V696" s="5"/>
      <c r="W696" s="5"/>
      <c r="X696" s="5"/>
      <c r="Y696" s="5"/>
      <c r="Z696" s="5"/>
      <c r="AA696" s="5"/>
      <c r="AB696" s="67"/>
      <c r="AC696" s="5"/>
      <c r="AD696" s="5"/>
      <c r="AE696" s="5"/>
      <c r="AF696" s="5"/>
      <c r="AG696" s="5"/>
      <c r="AH696" s="5"/>
      <c r="AI696" s="5"/>
      <c r="AJ696" s="5"/>
      <c r="AK696" s="5"/>
      <c r="AL696" s="5"/>
      <c r="AM696" s="23"/>
    </row>
    <row r="697" spans="1:39" x14ac:dyDescent="0.2">
      <c r="A697" s="11"/>
      <c r="B697" s="11"/>
      <c r="C697" s="61"/>
      <c r="D697" s="5"/>
      <c r="E697" s="5"/>
      <c r="F697" s="5"/>
      <c r="G697" s="5"/>
      <c r="H697" s="5"/>
      <c r="I697" s="5"/>
      <c r="J697" s="5"/>
      <c r="K697" s="5"/>
      <c r="L697" s="5"/>
      <c r="M697" s="5"/>
      <c r="N697" s="5"/>
      <c r="O697" s="5"/>
      <c r="P697" s="5"/>
      <c r="Q697" s="5"/>
      <c r="R697" s="5"/>
      <c r="S697" s="5"/>
      <c r="T697" s="5"/>
      <c r="U697" s="5"/>
      <c r="V697" s="5"/>
      <c r="W697" s="5"/>
      <c r="X697" s="5"/>
      <c r="Y697" s="5"/>
      <c r="Z697" s="5"/>
      <c r="AA697" s="5"/>
      <c r="AB697" s="67"/>
      <c r="AC697" s="5"/>
      <c r="AD697" s="5"/>
      <c r="AE697" s="5"/>
      <c r="AF697" s="5"/>
      <c r="AG697" s="5"/>
      <c r="AH697" s="5"/>
      <c r="AI697" s="5"/>
      <c r="AJ697" s="5"/>
      <c r="AK697" s="5"/>
      <c r="AL697" s="5"/>
      <c r="AM697" s="23"/>
    </row>
    <row r="698" spans="1:39" x14ac:dyDescent="0.2">
      <c r="A698" s="11"/>
      <c r="B698" s="11"/>
      <c r="C698" s="61"/>
      <c r="D698" s="5"/>
      <c r="E698" s="5"/>
      <c r="F698" s="5"/>
      <c r="G698" s="5"/>
      <c r="H698" s="5"/>
      <c r="I698" s="5"/>
      <c r="J698" s="5"/>
      <c r="K698" s="5"/>
      <c r="L698" s="5"/>
      <c r="M698" s="5"/>
      <c r="N698" s="5"/>
      <c r="O698" s="5"/>
      <c r="P698" s="5"/>
      <c r="Q698" s="5"/>
      <c r="R698" s="5"/>
      <c r="S698" s="5"/>
      <c r="T698" s="5"/>
      <c r="U698" s="5"/>
      <c r="V698" s="5"/>
      <c r="W698" s="5"/>
      <c r="X698" s="5"/>
      <c r="Y698" s="5"/>
      <c r="Z698" s="5"/>
      <c r="AA698" s="5"/>
      <c r="AB698" s="67"/>
      <c r="AC698" s="5"/>
      <c r="AD698" s="5"/>
      <c r="AE698" s="5"/>
      <c r="AF698" s="5"/>
      <c r="AG698" s="5"/>
      <c r="AH698" s="5"/>
      <c r="AI698" s="5"/>
      <c r="AJ698" s="5"/>
      <c r="AK698" s="5"/>
      <c r="AL698" s="5"/>
      <c r="AM698" s="23"/>
    </row>
    <row r="699" spans="1:39" x14ac:dyDescent="0.2">
      <c r="A699" s="11"/>
      <c r="B699" s="11"/>
      <c r="C699" s="21" t="s">
        <v>400</v>
      </c>
      <c r="D699" s="5"/>
      <c r="E699" s="5"/>
      <c r="F699" s="5"/>
      <c r="G699" s="5"/>
      <c r="H699" s="5"/>
      <c r="I699" s="5"/>
      <c r="J699" s="5"/>
      <c r="K699" s="5"/>
      <c r="L699" s="5"/>
      <c r="M699" s="5"/>
      <c r="N699" s="5"/>
      <c r="O699" s="5"/>
      <c r="P699" s="5"/>
      <c r="Q699" s="5"/>
      <c r="R699" s="5"/>
      <c r="S699" s="5"/>
      <c r="T699" s="5"/>
      <c r="U699" s="5"/>
      <c r="V699" s="5"/>
      <c r="W699" s="5"/>
      <c r="X699" s="5"/>
      <c r="Y699" s="5"/>
      <c r="Z699" s="5"/>
      <c r="AA699" s="5"/>
      <c r="AB699" s="67"/>
      <c r="AC699" s="5"/>
      <c r="AD699" s="5"/>
      <c r="AE699" s="5"/>
      <c r="AF699" s="5"/>
      <c r="AG699" s="5"/>
      <c r="AH699" s="5"/>
      <c r="AI699" s="5"/>
      <c r="AJ699" s="5"/>
      <c r="AK699" s="5"/>
      <c r="AL699" s="5"/>
      <c r="AM699" s="23"/>
    </row>
    <row r="700" spans="1:39" x14ac:dyDescent="0.2">
      <c r="A700" s="11"/>
      <c r="B700" s="36"/>
      <c r="C700" s="39" t="s">
        <v>25</v>
      </c>
      <c r="D700" s="27"/>
      <c r="E700" s="39" t="str">
        <f>IF(D700&lt;&gt;"","Please check the ‘+’ icon to the left and provide the necessary information","")</f>
        <v/>
      </c>
      <c r="F700" s="39"/>
      <c r="G700" s="39"/>
      <c r="H700" s="39"/>
      <c r="I700" s="37"/>
      <c r="J700" s="37"/>
      <c r="K700" s="5"/>
      <c r="L700" s="13"/>
      <c r="M700" s="37"/>
      <c r="N700" s="37"/>
      <c r="O700" s="37"/>
      <c r="P700" s="37"/>
      <c r="Q700" s="37"/>
      <c r="R700" s="37"/>
      <c r="S700" s="37"/>
      <c r="T700" s="37"/>
      <c r="U700" s="37"/>
      <c r="V700" s="48"/>
      <c r="W700" s="37"/>
      <c r="X700" s="37"/>
      <c r="Y700" s="37"/>
      <c r="Z700" s="37"/>
      <c r="AA700" s="37"/>
      <c r="AB700" s="37"/>
      <c r="AC700" s="37"/>
      <c r="AD700" s="37"/>
      <c r="AE700" s="5"/>
      <c r="AF700" s="5"/>
      <c r="AG700" s="5"/>
      <c r="AH700" s="5"/>
      <c r="AI700" s="5"/>
      <c r="AJ700" s="5"/>
      <c r="AK700" s="5"/>
      <c r="AL700" s="5"/>
      <c r="AM700" s="23"/>
    </row>
    <row r="701" spans="1:39" x14ac:dyDescent="0.2">
      <c r="A701" s="11"/>
      <c r="B701" s="36"/>
      <c r="C701" s="39" t="s">
        <v>27</v>
      </c>
      <c r="D701" s="28" t="s">
        <v>9</v>
      </c>
      <c r="E701" s="41"/>
      <c r="F701" s="49"/>
      <c r="G701" s="49"/>
      <c r="H701" s="49"/>
      <c r="I701" s="37"/>
      <c r="J701" s="37"/>
      <c r="K701" s="5"/>
      <c r="L701" s="13"/>
      <c r="M701" s="37"/>
      <c r="N701" s="37"/>
      <c r="O701" s="37"/>
      <c r="P701" s="37"/>
      <c r="Q701" s="37"/>
      <c r="R701" s="37"/>
      <c r="S701" s="37"/>
      <c r="T701" s="37"/>
      <c r="U701" s="37"/>
      <c r="V701" s="37"/>
      <c r="W701" s="37"/>
      <c r="X701" s="37"/>
      <c r="Y701" s="37"/>
      <c r="Z701" s="37"/>
      <c r="AA701" s="37"/>
      <c r="AB701" s="37"/>
      <c r="AC701" s="37"/>
      <c r="AD701" s="37"/>
      <c r="AE701" s="5"/>
      <c r="AF701" s="5"/>
      <c r="AG701" s="5"/>
      <c r="AH701" s="5"/>
      <c r="AI701" s="5"/>
      <c r="AJ701" s="5"/>
      <c r="AK701" s="5"/>
      <c r="AL701" s="5"/>
      <c r="AM701" s="23"/>
    </row>
    <row r="702" spans="1:39" x14ac:dyDescent="0.2">
      <c r="A702" s="11"/>
      <c r="B702" s="11"/>
      <c r="C702" s="61"/>
      <c r="D702" s="5"/>
      <c r="E702" s="5"/>
      <c r="F702" s="5"/>
      <c r="G702" s="5"/>
      <c r="H702" s="5"/>
      <c r="I702" s="5"/>
      <c r="J702" s="5"/>
      <c r="K702" s="5"/>
      <c r="L702" s="5"/>
      <c r="M702" s="5"/>
      <c r="N702" s="5"/>
      <c r="O702" s="5"/>
      <c r="P702" s="5"/>
      <c r="Q702" s="5"/>
      <c r="R702" s="5"/>
      <c r="S702" s="5"/>
      <c r="T702" s="5"/>
      <c r="U702" s="5"/>
      <c r="V702" s="5"/>
      <c r="W702" s="5"/>
      <c r="X702" s="5"/>
      <c r="Y702" s="5"/>
      <c r="Z702" s="5"/>
      <c r="AA702" s="5"/>
      <c r="AB702" s="67"/>
      <c r="AC702" s="5"/>
      <c r="AD702" s="5"/>
      <c r="AE702" s="5"/>
      <c r="AF702" s="5"/>
      <c r="AG702" s="5"/>
      <c r="AH702" s="5"/>
      <c r="AI702" s="5"/>
      <c r="AJ702" s="5"/>
      <c r="AK702" s="5"/>
      <c r="AL702" s="5"/>
      <c r="AM702" s="23"/>
    </row>
    <row r="703" spans="1:39" x14ac:dyDescent="0.2">
      <c r="A703" s="11"/>
      <c r="B703" s="11"/>
      <c r="C703" s="29" t="s">
        <v>15</v>
      </c>
      <c r="D703" s="27"/>
      <c r="E703" s="5" t="s">
        <v>401</v>
      </c>
      <c r="F703" s="5"/>
      <c r="G703" s="5"/>
      <c r="H703" s="5"/>
      <c r="I703" s="5"/>
      <c r="J703" s="5"/>
      <c r="K703" s="5"/>
      <c r="L703" s="5"/>
      <c r="M703" s="5"/>
      <c r="N703" s="5"/>
      <c r="O703" s="5"/>
      <c r="P703" s="5"/>
      <c r="Q703" s="5"/>
      <c r="R703" s="5"/>
      <c r="S703" s="5"/>
      <c r="T703" s="5"/>
      <c r="U703" s="5"/>
      <c r="V703" s="5"/>
      <c r="W703" s="5"/>
      <c r="X703" s="5"/>
      <c r="Y703" s="5"/>
      <c r="Z703" s="5"/>
      <c r="AA703" s="5"/>
      <c r="AB703" s="67"/>
      <c r="AC703" s="5"/>
      <c r="AD703" s="5"/>
      <c r="AE703" s="5"/>
      <c r="AF703" s="5"/>
      <c r="AG703" s="5"/>
      <c r="AH703" s="5"/>
      <c r="AI703" s="5"/>
      <c r="AJ703" s="5"/>
      <c r="AK703" s="5"/>
      <c r="AL703" s="5"/>
      <c r="AM703" s="23"/>
    </row>
    <row r="704" spans="1:39" x14ac:dyDescent="0.2">
      <c r="A704" s="11"/>
      <c r="B704" s="11"/>
      <c r="C704" s="5"/>
      <c r="D704" s="28"/>
      <c r="E704" s="5" t="s">
        <v>402</v>
      </c>
      <c r="F704" s="5"/>
      <c r="G704" s="5"/>
      <c r="H704" s="5"/>
      <c r="I704" s="5"/>
      <c r="J704" s="5"/>
      <c r="K704" s="5"/>
      <c r="L704" s="5"/>
      <c r="M704" s="5"/>
      <c r="N704" s="5"/>
      <c r="O704" s="100" t="str">
        <f>IF(D704&lt;&gt;"","note: 2 LAN ports + 16 switched ports only available for ","")</f>
        <v/>
      </c>
      <c r="P704" s="5"/>
      <c r="Q704" s="5"/>
      <c r="R704" s="5"/>
      <c r="S704" s="5"/>
      <c r="T704" s="5"/>
      <c r="U704" s="5"/>
      <c r="V704" s="5"/>
      <c r="W704" s="5"/>
      <c r="X704" s="5"/>
      <c r="Y704" s="5"/>
      <c r="Z704" s="5"/>
      <c r="AA704" s="5"/>
      <c r="AB704" s="67"/>
      <c r="AC704" s="5"/>
      <c r="AD704" s="5"/>
      <c r="AE704" s="5"/>
      <c r="AF704" s="5"/>
      <c r="AG704" s="5"/>
      <c r="AH704" s="5"/>
      <c r="AI704" s="5"/>
      <c r="AJ704" s="5"/>
      <c r="AK704" s="5"/>
      <c r="AL704" s="5"/>
      <c r="AM704" s="23"/>
    </row>
    <row r="705" spans="1:39" x14ac:dyDescent="0.2">
      <c r="A705" s="11"/>
      <c r="B705" s="11"/>
      <c r="C705" s="67"/>
      <c r="D705" s="5"/>
      <c r="E705" s="5"/>
      <c r="F705" s="5"/>
      <c r="G705" s="31"/>
      <c r="H705" s="5"/>
      <c r="I705" s="5"/>
      <c r="J705" s="5"/>
      <c r="K705" s="5"/>
      <c r="L705" s="5"/>
      <c r="M705" s="5"/>
      <c r="N705" s="5"/>
      <c r="O705" s="5"/>
      <c r="P705" s="100" t="str">
        <f>IF(D704&lt;&gt;"","SDH or TDM, 2M, 2x2M, 3x2M, 4x2M","")</f>
        <v/>
      </c>
      <c r="Q705" s="5"/>
      <c r="R705" s="5"/>
      <c r="S705" s="5"/>
      <c r="T705" s="5"/>
      <c r="U705" s="5"/>
      <c r="V705" s="5"/>
      <c r="W705" s="5"/>
      <c r="X705" s="5"/>
      <c r="Y705" s="5"/>
      <c r="Z705" s="5"/>
      <c r="AA705" s="5"/>
      <c r="AB705" s="67"/>
      <c r="AC705" s="5"/>
      <c r="AD705" s="5"/>
      <c r="AE705" s="5"/>
      <c r="AF705" s="5"/>
      <c r="AG705" s="5"/>
      <c r="AH705" s="5"/>
      <c r="AI705" s="5"/>
      <c r="AJ705" s="5"/>
      <c r="AK705" s="5"/>
      <c r="AL705" s="5"/>
      <c r="AM705" s="23"/>
    </row>
    <row r="706" spans="1:39" x14ac:dyDescent="0.2">
      <c r="A706" s="11"/>
      <c r="B706" s="11"/>
      <c r="C706" s="21" t="s">
        <v>403</v>
      </c>
      <c r="D706" s="5"/>
      <c r="E706" s="5"/>
      <c r="F706" s="5"/>
      <c r="G706" s="31"/>
      <c r="H706" s="5"/>
      <c r="I706" s="5"/>
      <c r="J706" s="5"/>
      <c r="K706" s="5"/>
      <c r="L706" s="5"/>
      <c r="M706" s="5"/>
      <c r="N706" s="5"/>
      <c r="O706" s="5"/>
      <c r="P706" s="100"/>
      <c r="Q706" s="5"/>
      <c r="R706" s="5"/>
      <c r="S706" s="5"/>
      <c r="T706" s="5"/>
      <c r="U706" s="5"/>
      <c r="V706" s="5"/>
      <c r="W706" s="5"/>
      <c r="X706" s="5"/>
      <c r="Y706" s="5"/>
      <c r="Z706" s="5"/>
      <c r="AA706" s="5"/>
      <c r="AB706" s="67"/>
      <c r="AC706" s="5"/>
      <c r="AD706" s="5"/>
      <c r="AE706" s="5"/>
      <c r="AF706" s="5"/>
      <c r="AG706" s="5"/>
      <c r="AH706" s="5"/>
      <c r="AI706" s="5"/>
      <c r="AJ706" s="5"/>
      <c r="AK706" s="5"/>
      <c r="AL706" s="5"/>
      <c r="AM706" s="23"/>
    </row>
    <row r="707" spans="1:39" x14ac:dyDescent="0.2">
      <c r="A707" s="11"/>
      <c r="B707" s="11"/>
      <c r="C707" s="39" t="s">
        <v>25</v>
      </c>
      <c r="D707" s="27"/>
      <c r="E707" s="39" t="str">
        <f>IF(D707&lt;&gt;"","Please check the ‘+’ icon to the left and provide the necessary information","")</f>
        <v/>
      </c>
      <c r="F707" s="5"/>
      <c r="G707" s="31"/>
      <c r="H707" s="5"/>
      <c r="I707" s="5"/>
      <c r="J707" s="5"/>
      <c r="K707" s="5"/>
      <c r="L707" s="5"/>
      <c r="M707" s="5"/>
      <c r="N707" s="5"/>
      <c r="O707" s="5"/>
      <c r="P707" s="100"/>
      <c r="Q707" s="5"/>
      <c r="R707" s="5"/>
      <c r="S707" s="5"/>
      <c r="T707" s="5"/>
      <c r="U707" s="5"/>
      <c r="V707" s="5"/>
      <c r="W707" s="5"/>
      <c r="X707" s="5"/>
      <c r="Y707" s="5"/>
      <c r="Z707" s="5"/>
      <c r="AA707" s="5"/>
      <c r="AB707" s="67"/>
      <c r="AC707" s="5"/>
      <c r="AD707" s="5"/>
      <c r="AE707" s="5"/>
      <c r="AF707" s="5"/>
      <c r="AG707" s="5"/>
      <c r="AH707" s="5"/>
      <c r="AI707" s="5"/>
      <c r="AJ707" s="5"/>
      <c r="AK707" s="5"/>
      <c r="AL707" s="5"/>
      <c r="AM707" s="23"/>
    </row>
    <row r="708" spans="1:39" x14ac:dyDescent="0.2">
      <c r="A708" s="11"/>
      <c r="B708" s="11"/>
      <c r="C708" s="39" t="s">
        <v>27</v>
      </c>
      <c r="D708" s="28" t="s">
        <v>9</v>
      </c>
      <c r="E708" s="41"/>
      <c r="F708" s="5"/>
      <c r="G708" s="31"/>
      <c r="H708" s="5"/>
      <c r="I708" s="5"/>
      <c r="J708" s="5"/>
      <c r="K708" s="5"/>
      <c r="L708" s="5"/>
      <c r="M708" s="5"/>
      <c r="N708" s="5"/>
      <c r="O708" s="5"/>
      <c r="P708" s="100"/>
      <c r="Q708" s="5"/>
      <c r="R708" s="5"/>
      <c r="S708" s="5"/>
      <c r="T708" s="5"/>
      <c r="U708" s="5"/>
      <c r="V708" s="5"/>
      <c r="W708" s="5"/>
      <c r="X708" s="5"/>
      <c r="Y708" s="5"/>
      <c r="Z708" s="5"/>
      <c r="AA708" s="5"/>
      <c r="AB708" s="67"/>
      <c r="AC708" s="5"/>
      <c r="AD708" s="5"/>
      <c r="AE708" s="5"/>
      <c r="AF708" s="5"/>
      <c r="AG708" s="5"/>
      <c r="AH708" s="5"/>
      <c r="AI708" s="5"/>
      <c r="AJ708" s="5"/>
      <c r="AK708" s="5"/>
      <c r="AL708" s="5"/>
      <c r="AM708" s="23"/>
    </row>
    <row r="709" spans="1:39" x14ac:dyDescent="0.2">
      <c r="A709" s="11"/>
      <c r="B709" s="11"/>
      <c r="C709" s="67"/>
      <c r="D709" s="5"/>
      <c r="E709" s="5"/>
      <c r="F709" s="5"/>
      <c r="G709" s="31"/>
      <c r="H709" s="5"/>
      <c r="I709" s="5"/>
      <c r="J709" s="5"/>
      <c r="K709" s="5"/>
      <c r="L709" s="5"/>
      <c r="M709" s="5"/>
      <c r="N709" s="5"/>
      <c r="O709" s="5"/>
      <c r="P709" s="100"/>
      <c r="Q709" s="5"/>
      <c r="R709" s="5"/>
      <c r="S709" s="5"/>
      <c r="T709" s="5"/>
      <c r="U709" s="5"/>
      <c r="V709" s="5"/>
      <c r="W709" s="5"/>
      <c r="X709" s="5"/>
      <c r="Y709" s="5"/>
      <c r="Z709" s="5"/>
      <c r="AA709" s="5"/>
      <c r="AB709" s="67"/>
      <c r="AC709" s="5"/>
      <c r="AD709" s="5"/>
      <c r="AE709" s="5"/>
      <c r="AF709" s="5"/>
      <c r="AG709" s="5"/>
      <c r="AH709" s="5"/>
      <c r="AI709" s="5"/>
      <c r="AJ709" s="5"/>
      <c r="AK709" s="5"/>
      <c r="AL709" s="5"/>
      <c r="AM709" s="23"/>
    </row>
    <row r="710" spans="1:39" x14ac:dyDescent="0.2">
      <c r="A710" s="11"/>
      <c r="B710" s="11"/>
      <c r="C710" s="67"/>
      <c r="D710" s="5" t="s">
        <v>404</v>
      </c>
      <c r="E710" s="5"/>
      <c r="F710" s="7" t="s">
        <v>405</v>
      </c>
      <c r="G710" s="5"/>
      <c r="H710" s="5"/>
      <c r="I710" s="5"/>
      <c r="K710" s="7" t="s">
        <v>406</v>
      </c>
      <c r="M710" s="5"/>
      <c r="N710" s="5"/>
      <c r="O710" s="7"/>
      <c r="P710" s="7" t="s">
        <v>407</v>
      </c>
      <c r="Q710" s="7"/>
      <c r="R710" s="7"/>
      <c r="S710" s="206"/>
      <c r="T710" s="206"/>
      <c r="U710" s="206"/>
      <c r="V710" s="206"/>
      <c r="W710" s="5"/>
      <c r="X710" s="5"/>
      <c r="Y710" s="5"/>
      <c r="Z710" s="5"/>
      <c r="AA710" s="5"/>
      <c r="AB710" s="67"/>
      <c r="AC710" s="5"/>
      <c r="AD710" s="5"/>
      <c r="AE710" s="5"/>
      <c r="AF710" s="5"/>
      <c r="AG710" s="5"/>
      <c r="AH710" s="5"/>
      <c r="AI710" s="5"/>
      <c r="AJ710" s="5"/>
      <c r="AK710" s="5"/>
      <c r="AL710" s="5"/>
      <c r="AM710" s="23"/>
    </row>
    <row r="711" spans="1:39" ht="15" x14ac:dyDescent="0.2">
      <c r="A711" s="11"/>
      <c r="B711" s="11"/>
      <c r="C711" s="29" t="s">
        <v>15</v>
      </c>
      <c r="D711" s="171"/>
      <c r="E711" s="207"/>
      <c r="F711" s="109"/>
      <c r="G711" s="131"/>
      <c r="H711" s="109"/>
      <c r="I711" s="208"/>
      <c r="K711" s="109"/>
      <c r="L711" s="131"/>
      <c r="M711" s="109"/>
      <c r="N711" s="208"/>
      <c r="O711" s="7"/>
      <c r="P711" s="128"/>
      <c r="Q711" s="7"/>
      <c r="R711" s="7"/>
      <c r="S711" s="206"/>
      <c r="T711" s="206"/>
      <c r="U711" s="206"/>
      <c r="V711" s="206"/>
      <c r="W711" s="5"/>
      <c r="X711" s="5"/>
      <c r="Y711" s="5"/>
      <c r="Z711" s="5"/>
      <c r="AA711" s="5"/>
      <c r="AB711" s="67"/>
      <c r="AC711" s="5"/>
      <c r="AD711" s="5"/>
      <c r="AE711" s="5"/>
      <c r="AF711" s="5"/>
      <c r="AG711" s="5"/>
      <c r="AH711" s="5"/>
      <c r="AI711" s="5"/>
      <c r="AJ711" s="5"/>
      <c r="AK711" s="5"/>
      <c r="AL711" s="5"/>
      <c r="AM711" s="23"/>
    </row>
    <row r="712" spans="1:39" ht="15" x14ac:dyDescent="0.2">
      <c r="A712" s="11"/>
      <c r="B712" s="11"/>
      <c r="C712" s="67"/>
      <c r="D712" s="174"/>
      <c r="E712" s="207"/>
      <c r="F712" s="109"/>
      <c r="G712" s="131"/>
      <c r="H712" s="109"/>
      <c r="I712" s="208"/>
      <c r="K712" s="109"/>
      <c r="L712" s="131"/>
      <c r="M712" s="109"/>
      <c r="N712" s="208"/>
      <c r="O712" s="7"/>
      <c r="P712" s="128"/>
      <c r="Q712" s="7"/>
      <c r="R712" s="7"/>
      <c r="S712" s="206"/>
      <c r="T712" s="206"/>
      <c r="U712" s="206"/>
      <c r="V712" s="206"/>
      <c r="W712" s="5"/>
      <c r="X712" s="5"/>
      <c r="Y712" s="5"/>
      <c r="Z712" s="5"/>
      <c r="AA712" s="5"/>
      <c r="AB712" s="67"/>
      <c r="AC712" s="5"/>
      <c r="AD712" s="5"/>
      <c r="AE712" s="5"/>
      <c r="AF712" s="5"/>
      <c r="AG712" s="5"/>
      <c r="AH712" s="5"/>
      <c r="AI712" s="5"/>
      <c r="AJ712" s="5"/>
      <c r="AK712" s="5"/>
      <c r="AL712" s="5"/>
      <c r="AM712" s="23"/>
    </row>
    <row r="713" spans="1:39" ht="15" x14ac:dyDescent="0.2">
      <c r="A713" s="11"/>
      <c r="B713" s="11"/>
      <c r="C713" s="67"/>
      <c r="D713" s="171"/>
      <c r="E713" s="207"/>
      <c r="F713" s="109"/>
      <c r="G713" s="131"/>
      <c r="H713" s="109"/>
      <c r="I713" s="208"/>
      <c r="K713" s="109"/>
      <c r="L713" s="131"/>
      <c r="M713" s="109"/>
      <c r="N713" s="208"/>
      <c r="O713" s="7"/>
      <c r="P713" s="128"/>
      <c r="Q713" s="7"/>
      <c r="R713" s="7"/>
      <c r="S713" s="206"/>
      <c r="T713" s="206"/>
      <c r="U713" s="206"/>
      <c r="V713" s="206"/>
      <c r="W713" s="5"/>
      <c r="X713" s="5"/>
      <c r="Y713" s="5"/>
      <c r="Z713" s="5"/>
      <c r="AA713" s="5"/>
      <c r="AB713" s="67"/>
      <c r="AC713" s="5"/>
      <c r="AD713" s="5"/>
      <c r="AE713" s="5"/>
      <c r="AF713" s="5"/>
      <c r="AG713" s="5"/>
      <c r="AH713" s="5"/>
      <c r="AI713" s="5"/>
      <c r="AJ713" s="5"/>
      <c r="AK713" s="5"/>
      <c r="AL713" s="5"/>
      <c r="AM713" s="23"/>
    </row>
    <row r="714" spans="1:39" ht="15" x14ac:dyDescent="0.2">
      <c r="A714" s="11"/>
      <c r="B714" s="11"/>
      <c r="C714" s="67"/>
      <c r="D714" s="174"/>
      <c r="E714" s="172"/>
      <c r="F714" s="109"/>
      <c r="G714" s="131"/>
      <c r="H714" s="109"/>
      <c r="I714" s="208"/>
      <c r="K714" s="109"/>
      <c r="L714" s="131"/>
      <c r="M714" s="109"/>
      <c r="N714" s="208"/>
      <c r="O714" s="7"/>
      <c r="P714" s="128"/>
      <c r="Q714" s="7"/>
      <c r="R714" s="7"/>
      <c r="S714" s="206"/>
      <c r="T714" s="206"/>
      <c r="U714" s="206"/>
      <c r="V714" s="206"/>
      <c r="W714" s="5"/>
      <c r="X714" s="5"/>
      <c r="Y714" s="5"/>
      <c r="Z714" s="5"/>
      <c r="AA714" s="5"/>
      <c r="AB714" s="67"/>
      <c r="AC714" s="5"/>
      <c r="AD714" s="5"/>
      <c r="AE714" s="5"/>
      <c r="AF714" s="5"/>
      <c r="AG714" s="5"/>
      <c r="AH714" s="5"/>
      <c r="AI714" s="5"/>
      <c r="AJ714" s="5"/>
      <c r="AK714" s="5"/>
      <c r="AL714" s="5"/>
      <c r="AM714" s="23"/>
    </row>
    <row r="715" spans="1:39" ht="15" x14ac:dyDescent="0.2">
      <c r="A715" s="11"/>
      <c r="B715" s="11"/>
      <c r="C715" s="67"/>
      <c r="D715" s="171"/>
      <c r="E715" s="172"/>
      <c r="F715" s="109"/>
      <c r="G715" s="131"/>
      <c r="H715" s="109"/>
      <c r="I715" s="208"/>
      <c r="K715" s="109"/>
      <c r="L715" s="131"/>
      <c r="M715" s="109"/>
      <c r="N715" s="208"/>
      <c r="O715" s="7"/>
      <c r="P715" s="128"/>
      <c r="Q715" s="7"/>
      <c r="R715" s="7"/>
      <c r="S715" s="206"/>
      <c r="T715" s="206"/>
      <c r="U715" s="206"/>
      <c r="V715" s="206"/>
      <c r="W715" s="5"/>
      <c r="X715" s="5"/>
      <c r="Y715" s="5"/>
      <c r="Z715" s="5"/>
      <c r="AA715" s="5"/>
      <c r="AB715" s="67"/>
      <c r="AC715" s="5"/>
      <c r="AD715" s="5"/>
      <c r="AE715" s="5"/>
      <c r="AF715" s="5"/>
      <c r="AG715" s="5"/>
      <c r="AH715" s="5"/>
      <c r="AI715" s="5"/>
      <c r="AJ715" s="5"/>
      <c r="AK715" s="5"/>
      <c r="AL715" s="5"/>
      <c r="AM715" s="23"/>
    </row>
    <row r="716" spans="1:39" ht="15" x14ac:dyDescent="0.2">
      <c r="A716" s="11"/>
      <c r="B716" s="11"/>
      <c r="C716" s="67"/>
      <c r="D716" s="174"/>
      <c r="E716" s="172"/>
      <c r="F716" s="109"/>
      <c r="G716" s="131"/>
      <c r="H716" s="109"/>
      <c r="I716" s="208"/>
      <c r="K716" s="109"/>
      <c r="L716" s="131"/>
      <c r="M716" s="109"/>
      <c r="N716" s="208"/>
      <c r="O716" s="7"/>
      <c r="P716" s="128"/>
      <c r="Q716" s="7"/>
      <c r="R716" s="7"/>
      <c r="S716" s="206"/>
      <c r="T716" s="206"/>
      <c r="U716" s="206"/>
      <c r="V716" s="206"/>
      <c r="W716" s="5"/>
      <c r="X716" s="5"/>
      <c r="Y716" s="5"/>
      <c r="Z716" s="5"/>
      <c r="AA716" s="5"/>
      <c r="AB716" s="67"/>
      <c r="AC716" s="5"/>
      <c r="AD716" s="5"/>
      <c r="AE716" s="5"/>
      <c r="AF716" s="5"/>
      <c r="AG716" s="5"/>
      <c r="AH716" s="5"/>
      <c r="AI716" s="5"/>
      <c r="AJ716" s="5"/>
      <c r="AK716" s="5"/>
      <c r="AL716" s="5"/>
      <c r="AM716" s="23"/>
    </row>
    <row r="717" spans="1:39" x14ac:dyDescent="0.2">
      <c r="A717" s="11"/>
      <c r="B717" s="11"/>
      <c r="C717" s="67"/>
      <c r="D717" s="31"/>
      <c r="E717" s="31"/>
      <c r="F717" s="31"/>
      <c r="G717" s="31"/>
      <c r="H717" s="5"/>
      <c r="I717" s="5"/>
      <c r="J717" s="5"/>
      <c r="K717" s="5"/>
      <c r="L717" s="5"/>
      <c r="M717" s="5"/>
      <c r="N717" s="5"/>
      <c r="O717" s="5"/>
      <c r="P717" s="100"/>
      <c r="Q717" s="5"/>
      <c r="R717" s="5"/>
      <c r="S717" s="5"/>
      <c r="T717" s="5"/>
      <c r="U717" s="5"/>
      <c r="V717" s="5"/>
      <c r="W717" s="5"/>
      <c r="X717" s="5"/>
      <c r="Y717" s="5"/>
      <c r="Z717" s="5"/>
      <c r="AA717" s="5"/>
      <c r="AB717" s="67"/>
      <c r="AC717" s="5"/>
      <c r="AD717" s="5"/>
      <c r="AE717" s="5"/>
      <c r="AF717" s="5"/>
      <c r="AG717" s="5"/>
      <c r="AH717" s="5"/>
      <c r="AI717" s="5"/>
      <c r="AJ717" s="5"/>
      <c r="AK717" s="5"/>
      <c r="AL717" s="5"/>
      <c r="AM717" s="23"/>
    </row>
    <row r="718" spans="1:39" x14ac:dyDescent="0.2">
      <c r="A718" s="11"/>
      <c r="B718" s="11"/>
      <c r="C718" s="67"/>
      <c r="D718" s="5" t="s">
        <v>404</v>
      </c>
      <c r="E718" s="5"/>
      <c r="F718" s="7" t="s">
        <v>408</v>
      </c>
      <c r="G718" s="5"/>
      <c r="H718" s="5"/>
      <c r="I718" s="5"/>
      <c r="J718" s="64"/>
      <c r="K718" s="64"/>
      <c r="L718" s="64"/>
      <c r="M718" s="64"/>
      <c r="N718" s="64"/>
      <c r="O718" s="64"/>
      <c r="P718" s="7" t="s">
        <v>409</v>
      </c>
      <c r="Q718" s="5"/>
      <c r="R718" s="7" t="s">
        <v>407</v>
      </c>
      <c r="S718" s="5"/>
      <c r="T718" s="5"/>
      <c r="U718" s="5"/>
      <c r="V718" s="5"/>
      <c r="W718" s="5"/>
      <c r="X718" s="5"/>
      <c r="Y718" s="5"/>
      <c r="Z718" s="5"/>
      <c r="AA718" s="5"/>
      <c r="AB718" s="67"/>
      <c r="AC718" s="5"/>
      <c r="AD718" s="5"/>
      <c r="AE718" s="5"/>
      <c r="AF718" s="5"/>
      <c r="AG718" s="5"/>
      <c r="AH718" s="5"/>
      <c r="AI718" s="5"/>
      <c r="AJ718" s="5"/>
      <c r="AK718" s="5"/>
      <c r="AL718" s="5"/>
      <c r="AM718" s="23"/>
    </row>
    <row r="719" spans="1:39" x14ac:dyDescent="0.2">
      <c r="A719" s="11"/>
      <c r="B719" s="11"/>
      <c r="C719" s="29" t="s">
        <v>15</v>
      </c>
      <c r="D719" s="171"/>
      <c r="E719" s="207"/>
      <c r="F719" s="127"/>
      <c r="G719" s="127"/>
      <c r="H719" s="127"/>
      <c r="I719" s="127"/>
      <c r="J719" s="127"/>
      <c r="K719" s="127"/>
      <c r="L719" s="127"/>
      <c r="M719" s="127"/>
      <c r="N719" s="127"/>
      <c r="O719" s="67" t="s">
        <v>143</v>
      </c>
      <c r="P719" s="128"/>
      <c r="Q719" s="5"/>
      <c r="R719" s="128"/>
      <c r="S719" s="5"/>
      <c r="T719" s="5"/>
      <c r="U719" s="5"/>
      <c r="V719" s="5"/>
      <c r="W719" s="5"/>
      <c r="X719" s="5"/>
      <c r="Y719" s="5"/>
      <c r="Z719" s="5"/>
      <c r="AA719" s="5"/>
      <c r="AB719" s="67"/>
      <c r="AC719" s="5"/>
      <c r="AD719" s="5"/>
      <c r="AE719" s="5"/>
      <c r="AF719" s="5"/>
      <c r="AG719" s="5"/>
      <c r="AH719" s="5"/>
      <c r="AI719" s="5"/>
      <c r="AJ719" s="5"/>
      <c r="AK719" s="5"/>
      <c r="AL719" s="5"/>
      <c r="AM719" s="23"/>
    </row>
    <row r="720" spans="1:39" x14ac:dyDescent="0.2">
      <c r="A720" s="11"/>
      <c r="B720" s="11"/>
      <c r="C720" s="67"/>
      <c r="D720" s="174"/>
      <c r="E720" s="207"/>
      <c r="F720" s="127"/>
      <c r="G720" s="127"/>
      <c r="H720" s="127"/>
      <c r="I720" s="127"/>
      <c r="J720" s="127"/>
      <c r="K720" s="127"/>
      <c r="L720" s="127"/>
      <c r="M720" s="127"/>
      <c r="N720" s="127"/>
      <c r="O720" s="67" t="s">
        <v>143</v>
      </c>
      <c r="P720" s="128"/>
      <c r="Q720" s="5"/>
      <c r="R720" s="128"/>
      <c r="S720" s="5"/>
      <c r="T720" s="5"/>
      <c r="U720" s="5"/>
      <c r="V720" s="5"/>
      <c r="W720" s="5"/>
      <c r="X720" s="5"/>
      <c r="Y720" s="5"/>
      <c r="Z720" s="5"/>
      <c r="AA720" s="5"/>
      <c r="AB720" s="67"/>
      <c r="AC720" s="5"/>
      <c r="AD720" s="5"/>
      <c r="AE720" s="5"/>
      <c r="AF720" s="5"/>
      <c r="AG720" s="5"/>
      <c r="AH720" s="5"/>
      <c r="AI720" s="5"/>
      <c r="AJ720" s="5"/>
      <c r="AK720" s="5"/>
      <c r="AL720" s="5"/>
      <c r="AM720" s="23"/>
    </row>
    <row r="721" spans="1:41" x14ac:dyDescent="0.2">
      <c r="A721" s="11"/>
      <c r="B721" s="11"/>
      <c r="C721" s="67"/>
      <c r="D721" s="171"/>
      <c r="E721" s="207"/>
      <c r="F721" s="127"/>
      <c r="G721" s="127"/>
      <c r="H721" s="127"/>
      <c r="I721" s="127"/>
      <c r="J721" s="127"/>
      <c r="K721" s="127"/>
      <c r="L721" s="127"/>
      <c r="M721" s="127"/>
      <c r="N721" s="127"/>
      <c r="O721" s="67" t="s">
        <v>143</v>
      </c>
      <c r="P721" s="128"/>
      <c r="Q721" s="5"/>
      <c r="R721" s="128"/>
      <c r="S721" s="5"/>
      <c r="T721" s="5"/>
      <c r="U721" s="5"/>
      <c r="V721" s="5"/>
      <c r="W721" s="5"/>
      <c r="X721" s="5"/>
      <c r="Y721" s="5"/>
      <c r="Z721" s="5"/>
      <c r="AA721" s="5"/>
      <c r="AB721" s="67"/>
      <c r="AC721" s="5"/>
      <c r="AD721" s="5"/>
      <c r="AE721" s="5"/>
      <c r="AF721" s="5"/>
      <c r="AG721" s="5"/>
      <c r="AH721" s="5"/>
      <c r="AI721" s="5"/>
      <c r="AJ721" s="5"/>
      <c r="AK721" s="5"/>
      <c r="AL721" s="5"/>
      <c r="AM721" s="23"/>
    </row>
    <row r="722" spans="1:41" x14ac:dyDescent="0.2">
      <c r="A722" s="11"/>
      <c r="B722" s="11"/>
      <c r="C722" s="67"/>
      <c r="D722" s="174"/>
      <c r="E722" s="172"/>
      <c r="F722" s="127"/>
      <c r="G722" s="127"/>
      <c r="H722" s="127"/>
      <c r="I722" s="127"/>
      <c r="J722" s="127"/>
      <c r="K722" s="127"/>
      <c r="L722" s="127"/>
      <c r="M722" s="127"/>
      <c r="N722" s="127"/>
      <c r="O722" s="67" t="s">
        <v>143</v>
      </c>
      <c r="P722" s="128"/>
      <c r="Q722" s="5"/>
      <c r="R722" s="128"/>
      <c r="S722" s="5"/>
      <c r="T722" s="5"/>
      <c r="U722" s="5"/>
      <c r="V722" s="5"/>
      <c r="W722" s="5"/>
      <c r="X722" s="5"/>
      <c r="Y722" s="5"/>
      <c r="Z722" s="5"/>
      <c r="AA722" s="5"/>
      <c r="AB722" s="67"/>
      <c r="AC722" s="5"/>
      <c r="AD722" s="5"/>
      <c r="AE722" s="5"/>
      <c r="AF722" s="5"/>
      <c r="AG722" s="5"/>
      <c r="AH722" s="5"/>
      <c r="AI722" s="5"/>
      <c r="AJ722" s="5"/>
      <c r="AK722" s="5"/>
      <c r="AL722" s="5"/>
      <c r="AM722" s="23"/>
    </row>
    <row r="723" spans="1:41" x14ac:dyDescent="0.2">
      <c r="A723" s="11"/>
      <c r="B723" s="11"/>
      <c r="C723" s="67"/>
      <c r="D723" s="171"/>
      <c r="E723" s="172"/>
      <c r="F723" s="127"/>
      <c r="G723" s="127"/>
      <c r="H723" s="127"/>
      <c r="I723" s="127"/>
      <c r="J723" s="127"/>
      <c r="K723" s="127"/>
      <c r="L723" s="127"/>
      <c r="M723" s="127"/>
      <c r="N723" s="127"/>
      <c r="O723" s="67" t="s">
        <v>143</v>
      </c>
      <c r="P723" s="128"/>
      <c r="Q723" s="5"/>
      <c r="R723" s="128"/>
      <c r="S723" s="5"/>
      <c r="T723" s="5"/>
      <c r="U723" s="5"/>
      <c r="V723" s="5"/>
      <c r="W723" s="5"/>
      <c r="X723" s="5"/>
      <c r="Y723" s="5"/>
      <c r="Z723" s="5"/>
      <c r="AA723" s="5"/>
      <c r="AB723" s="67"/>
      <c r="AC723" s="5"/>
      <c r="AD723" s="5"/>
      <c r="AE723" s="5"/>
      <c r="AF723" s="5"/>
      <c r="AG723" s="5"/>
      <c r="AH723" s="5"/>
      <c r="AI723" s="5"/>
      <c r="AJ723" s="5"/>
      <c r="AK723" s="5"/>
      <c r="AL723" s="5"/>
      <c r="AM723" s="23"/>
    </row>
    <row r="724" spans="1:41" x14ac:dyDescent="0.2">
      <c r="A724" s="11"/>
      <c r="B724" s="11"/>
      <c r="C724" s="67"/>
      <c r="D724" s="174"/>
      <c r="E724" s="172"/>
      <c r="F724" s="127"/>
      <c r="G724" s="127"/>
      <c r="H724" s="127"/>
      <c r="I724" s="127"/>
      <c r="J724" s="127"/>
      <c r="K724" s="127"/>
      <c r="L724" s="127"/>
      <c r="M724" s="127"/>
      <c r="N724" s="127"/>
      <c r="O724" s="67" t="s">
        <v>143</v>
      </c>
      <c r="P724" s="128"/>
      <c r="Q724" s="5"/>
      <c r="R724" s="128"/>
      <c r="S724" s="5"/>
      <c r="T724" s="5"/>
      <c r="U724" s="5"/>
      <c r="V724" s="5"/>
      <c r="W724" s="5"/>
      <c r="X724" s="5"/>
      <c r="Y724" s="5"/>
      <c r="Z724" s="5"/>
      <c r="AA724" s="5"/>
      <c r="AB724" s="67"/>
      <c r="AC724" s="5"/>
      <c r="AD724" s="5"/>
      <c r="AE724" s="5"/>
      <c r="AF724" s="5"/>
      <c r="AG724" s="5"/>
      <c r="AH724" s="5"/>
      <c r="AI724" s="5"/>
      <c r="AJ724" s="5"/>
      <c r="AK724" s="5"/>
      <c r="AL724" s="5"/>
      <c r="AM724" s="23"/>
    </row>
    <row r="725" spans="1:41" x14ac:dyDescent="0.2">
      <c r="A725" s="11"/>
      <c r="B725" s="11"/>
      <c r="C725" s="67"/>
      <c r="D725" s="5"/>
      <c r="E725" s="5"/>
      <c r="F725" s="5"/>
      <c r="G725" s="31"/>
      <c r="H725" s="5"/>
      <c r="I725" s="5"/>
      <c r="J725" s="5"/>
      <c r="K725" s="5"/>
      <c r="L725" s="5"/>
      <c r="M725" s="5"/>
      <c r="N725" s="5"/>
      <c r="O725" s="5"/>
      <c r="P725" s="100"/>
      <c r="Q725" s="5"/>
      <c r="R725" s="5"/>
      <c r="S725" s="5"/>
      <c r="T725" s="5"/>
      <c r="U725" s="5"/>
      <c r="V725" s="5"/>
      <c r="W725" s="5"/>
      <c r="X725" s="5"/>
      <c r="Y725" s="5"/>
      <c r="Z725" s="5"/>
      <c r="AA725" s="5"/>
      <c r="AB725" s="67"/>
      <c r="AC725" s="5"/>
      <c r="AD725" s="5"/>
      <c r="AE725" s="5"/>
      <c r="AF725" s="5"/>
      <c r="AG725" s="5"/>
      <c r="AH725" s="5"/>
      <c r="AI725" s="5"/>
      <c r="AJ725" s="5"/>
      <c r="AK725" s="5"/>
      <c r="AL725" s="5"/>
      <c r="AM725" s="23"/>
    </row>
    <row r="726" spans="1:41" x14ac:dyDescent="0.2">
      <c r="A726" s="11"/>
      <c r="B726" s="11"/>
      <c r="C726" s="67"/>
      <c r="D726" s="5"/>
      <c r="E726" s="5"/>
      <c r="F726" s="5"/>
      <c r="G726" s="31"/>
      <c r="H726" s="5"/>
      <c r="I726" s="5"/>
      <c r="J726" s="5"/>
      <c r="K726" s="5"/>
      <c r="L726" s="5"/>
      <c r="M726" s="5"/>
      <c r="N726" s="5"/>
      <c r="O726" s="5"/>
      <c r="P726" s="100"/>
      <c r="Q726" s="5"/>
      <c r="R726" s="5"/>
      <c r="S726" s="5"/>
      <c r="T726" s="5"/>
      <c r="U726" s="5"/>
      <c r="V726" s="5"/>
      <c r="W726" s="5"/>
      <c r="X726" s="5"/>
      <c r="Y726" s="5"/>
      <c r="Z726" s="5"/>
      <c r="AA726" s="5"/>
      <c r="AB726" s="67"/>
      <c r="AC726" s="5"/>
      <c r="AD726" s="5"/>
      <c r="AE726" s="5"/>
      <c r="AF726" s="5"/>
      <c r="AG726" s="5"/>
      <c r="AH726" s="5"/>
      <c r="AI726" s="5"/>
      <c r="AJ726" s="5"/>
      <c r="AK726" s="5"/>
      <c r="AL726" s="5"/>
      <c r="AM726" s="23"/>
    </row>
    <row r="727" spans="1:41" x14ac:dyDescent="0.2">
      <c r="A727" s="11"/>
      <c r="B727" s="11"/>
      <c r="C727" s="21" t="s">
        <v>410</v>
      </c>
      <c r="D727" s="5"/>
      <c r="E727" s="5"/>
      <c r="F727" s="5"/>
      <c r="G727" s="5"/>
      <c r="H727" s="5"/>
      <c r="I727" s="5"/>
      <c r="J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23"/>
    </row>
    <row r="728" spans="1:41" x14ac:dyDescent="0.2">
      <c r="A728" s="11"/>
      <c r="B728" s="36"/>
      <c r="C728" s="39" t="s">
        <v>25</v>
      </c>
      <c r="D728" s="27" t="s">
        <v>9</v>
      </c>
      <c r="E728" s="39" t="str">
        <f>IF(D728&lt;&gt;"","Please check the ‘+’ icon to the left and provide the necessary information","")</f>
        <v>Please check the ‘+’ icon to the left and provide the necessary information</v>
      </c>
      <c r="F728" s="39"/>
      <c r="G728" s="39"/>
      <c r="H728" s="39"/>
      <c r="I728" s="37"/>
      <c r="J728" s="37"/>
      <c r="K728" s="5"/>
      <c r="L728" s="13"/>
      <c r="M728" s="37"/>
      <c r="N728" s="37"/>
      <c r="O728" s="37"/>
      <c r="P728" s="37"/>
      <c r="Q728" s="37"/>
      <c r="R728" s="37"/>
      <c r="S728" s="37"/>
      <c r="T728" s="37"/>
      <c r="U728" s="37"/>
      <c r="V728" s="48"/>
      <c r="W728" s="37"/>
      <c r="X728" s="37"/>
      <c r="Y728" s="37"/>
      <c r="Z728" s="37"/>
      <c r="AA728" s="37"/>
      <c r="AB728" s="37"/>
      <c r="AC728" s="37"/>
      <c r="AD728" s="37"/>
      <c r="AE728" s="5"/>
      <c r="AF728" s="5"/>
      <c r="AG728" s="5"/>
      <c r="AH728" s="5"/>
      <c r="AI728" s="5"/>
      <c r="AJ728" s="5"/>
      <c r="AK728" s="5"/>
      <c r="AL728" s="5"/>
      <c r="AM728" s="23"/>
    </row>
    <row r="729" spans="1:41" x14ac:dyDescent="0.2">
      <c r="A729" s="11"/>
      <c r="B729" s="36"/>
      <c r="C729" s="39" t="s">
        <v>27</v>
      </c>
      <c r="D729" s="28"/>
      <c r="E729" s="41"/>
      <c r="F729" s="49"/>
      <c r="G729" s="49"/>
      <c r="H729" s="49"/>
      <c r="I729" s="37"/>
      <c r="J729" s="37"/>
      <c r="K729" s="5"/>
      <c r="L729" s="13"/>
      <c r="M729" s="37"/>
      <c r="N729" s="37"/>
      <c r="O729" s="37"/>
      <c r="P729" s="37"/>
      <c r="Q729" s="37"/>
      <c r="R729" s="37"/>
      <c r="S729" s="37"/>
      <c r="T729" s="37"/>
      <c r="U729" s="37"/>
      <c r="V729" s="37"/>
      <c r="W729" s="37"/>
      <c r="X729" s="37"/>
      <c r="Y729" s="37"/>
      <c r="Z729" s="37"/>
      <c r="AA729" s="37"/>
      <c r="AB729" s="37"/>
      <c r="AC729" s="37"/>
      <c r="AD729" s="37"/>
      <c r="AE729" s="5"/>
      <c r="AF729" s="5"/>
      <c r="AG729" s="5"/>
      <c r="AH729" s="5"/>
      <c r="AI729" s="5"/>
      <c r="AJ729" s="5"/>
      <c r="AK729" s="5"/>
      <c r="AL729" s="5"/>
      <c r="AM729" s="23"/>
    </row>
    <row r="730" spans="1:41" x14ac:dyDescent="0.2">
      <c r="A730" s="11"/>
      <c r="B730" s="11"/>
      <c r="C730" s="61"/>
      <c r="D730" s="37"/>
      <c r="E730" s="5"/>
      <c r="F730" s="5"/>
      <c r="G730" s="5"/>
      <c r="H730" s="5"/>
      <c r="I730" s="5"/>
      <c r="J730" s="5"/>
      <c r="K730" s="37"/>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23"/>
    </row>
    <row r="731" spans="1:41" x14ac:dyDescent="0.2">
      <c r="A731" s="11"/>
      <c r="B731" s="11"/>
      <c r="C731" s="29" t="s">
        <v>15</v>
      </c>
      <c r="D731" s="5" t="s">
        <v>411</v>
      </c>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23"/>
      <c r="AO731" s="3">
        <f>back!K77</f>
        <v>0</v>
      </c>
    </row>
    <row r="732" spans="1:41" x14ac:dyDescent="0.2">
      <c r="A732" s="11"/>
      <c r="B732" s="11"/>
      <c r="C732" s="5"/>
      <c r="D732" s="27" t="s">
        <v>9</v>
      </c>
      <c r="E732" s="5" t="s">
        <v>412</v>
      </c>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23"/>
      <c r="AO732" s="3">
        <f>back!K78</f>
        <v>0</v>
      </c>
    </row>
    <row r="733" spans="1:41" x14ac:dyDescent="0.2">
      <c r="A733" s="11"/>
      <c r="B733" s="11"/>
      <c r="C733" s="5"/>
      <c r="D733" s="28"/>
      <c r="E733" s="5" t="s">
        <v>413</v>
      </c>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23"/>
      <c r="AO733" s="3">
        <f>back!K79</f>
        <v>0</v>
      </c>
    </row>
    <row r="734" spans="1:41" ht="15" x14ac:dyDescent="0.2">
      <c r="A734" s="11"/>
      <c r="B734" s="11"/>
      <c r="C734" s="5"/>
      <c r="D734" s="5"/>
      <c r="E734" s="5"/>
      <c r="F734" s="5"/>
      <c r="G734" s="5"/>
      <c r="H734" s="5"/>
      <c r="I734" s="5"/>
      <c r="J734" s="5"/>
      <c r="K734" s="5"/>
      <c r="L734" s="5"/>
      <c r="M734" s="5"/>
      <c r="N734" s="5"/>
      <c r="O734" s="5"/>
      <c r="P734" s="5"/>
      <c r="Q734" s="5"/>
      <c r="R734" s="5"/>
      <c r="S734" s="5"/>
      <c r="T734" s="209"/>
      <c r="U734" s="209"/>
      <c r="V734" s="209"/>
      <c r="W734" s="5"/>
      <c r="X734" s="5"/>
      <c r="Y734" s="5"/>
      <c r="Z734" s="5"/>
      <c r="AA734" s="5"/>
      <c r="AB734" s="5"/>
      <c r="AC734" s="5"/>
      <c r="AD734" s="5"/>
      <c r="AE734" s="5"/>
      <c r="AF734" s="5"/>
      <c r="AG734" s="5"/>
      <c r="AH734" s="5"/>
      <c r="AI734" s="5"/>
      <c r="AJ734" s="5"/>
      <c r="AK734" s="5"/>
      <c r="AL734" s="5"/>
      <c r="AM734" s="23"/>
      <c r="AO734" s="3">
        <f>back!K80</f>
        <v>0</v>
      </c>
    </row>
    <row r="735" spans="1:41" ht="33.75" x14ac:dyDescent="0.2">
      <c r="A735" s="11"/>
      <c r="B735" s="11"/>
      <c r="C735" s="5"/>
      <c r="D735" s="210"/>
      <c r="E735" s="211"/>
      <c r="F735" s="211"/>
      <c r="G735" s="212"/>
      <c r="H735" s="213"/>
      <c r="I735" s="213"/>
      <c r="J735" s="5"/>
      <c r="K735" s="67" t="str">
        <f>CONCATENATE("Site nr ",S11,"" )</f>
        <v>Site nr 4</v>
      </c>
      <c r="L735" s="214" t="s">
        <v>414</v>
      </c>
      <c r="M735" s="214"/>
      <c r="N735" s="212" t="s">
        <v>415</v>
      </c>
      <c r="O735" s="212"/>
      <c r="P735" s="212"/>
      <c r="Q735" s="212"/>
      <c r="R735" s="5"/>
      <c r="S735" s="212" t="s">
        <v>415</v>
      </c>
      <c r="T735" s="212"/>
      <c r="U735" s="212"/>
      <c r="V735" s="212"/>
      <c r="W735" s="5"/>
      <c r="X735" s="212" t="s">
        <v>415</v>
      </c>
      <c r="Y735" s="212"/>
      <c r="Z735" s="212"/>
      <c r="AA735" s="212"/>
      <c r="AB735" s="5"/>
      <c r="AC735" s="214" t="s">
        <v>416</v>
      </c>
      <c r="AD735" s="214"/>
      <c r="AE735" s="5"/>
      <c r="AF735" s="5" t="s">
        <v>1183</v>
      </c>
      <c r="AG735" s="5"/>
      <c r="AH735" s="5"/>
      <c r="AI735" s="5"/>
      <c r="AJ735" s="5"/>
      <c r="AK735" s="5"/>
      <c r="AL735" s="5"/>
      <c r="AM735" s="23"/>
      <c r="AO735" s="3">
        <f>back!K81</f>
        <v>0</v>
      </c>
    </row>
    <row r="736" spans="1:41" ht="19.5" x14ac:dyDescent="0.2">
      <c r="A736" s="11"/>
      <c r="B736" s="11"/>
      <c r="C736" s="5"/>
      <c r="D736" s="211"/>
      <c r="E736" s="211"/>
      <c r="F736" s="211"/>
      <c r="G736" s="213" t="s">
        <v>417</v>
      </c>
      <c r="H736" s="213"/>
      <c r="I736" s="213"/>
      <c r="J736" s="215" t="s">
        <v>418</v>
      </c>
      <c r="K736" s="215"/>
      <c r="L736" s="216" t="s">
        <v>419</v>
      </c>
      <c r="M736" s="216"/>
      <c r="N736" s="213" t="s">
        <v>420</v>
      </c>
      <c r="O736" s="213"/>
      <c r="P736" s="213"/>
      <c r="Q736" s="213"/>
      <c r="R736" s="5"/>
      <c r="S736" s="213" t="s">
        <v>69</v>
      </c>
      <c r="T736" s="213"/>
      <c r="U736" s="213"/>
      <c r="V736" s="213"/>
      <c r="W736" s="5"/>
      <c r="X736" s="213" t="s">
        <v>69</v>
      </c>
      <c r="Y736" s="213"/>
      <c r="Z736" s="213"/>
      <c r="AA736" s="213"/>
      <c r="AB736" s="5"/>
      <c r="AC736" s="214"/>
      <c r="AD736" s="214"/>
      <c r="AE736" s="5"/>
      <c r="AF736" s="5"/>
      <c r="AG736" s="5"/>
      <c r="AH736" s="5"/>
      <c r="AI736" s="5"/>
      <c r="AJ736" s="5"/>
      <c r="AK736" s="5"/>
      <c r="AL736" s="5"/>
      <c r="AM736" s="23"/>
      <c r="AO736" s="3">
        <f>back!K82</f>
        <v>0</v>
      </c>
    </row>
    <row r="737" spans="1:41" ht="24" x14ac:dyDescent="0.2">
      <c r="A737" s="11"/>
      <c r="B737" s="11"/>
      <c r="C737" s="5"/>
      <c r="D737" s="211" t="s">
        <v>421</v>
      </c>
      <c r="E737" s="211"/>
      <c r="F737" s="211"/>
      <c r="G737" s="213" t="s">
        <v>422</v>
      </c>
      <c r="H737" s="213"/>
      <c r="I737" s="213"/>
      <c r="J737" s="300"/>
      <c r="K737" s="300"/>
      <c r="L737" s="217" t="s">
        <v>423</v>
      </c>
      <c r="M737" s="217"/>
      <c r="N737" s="213" t="s">
        <v>69</v>
      </c>
      <c r="O737" s="213"/>
      <c r="P737" s="213"/>
      <c r="Q737" s="213"/>
      <c r="R737" s="218"/>
      <c r="S737" s="213" t="s">
        <v>139</v>
      </c>
      <c r="T737" s="213"/>
      <c r="U737" s="213"/>
      <c r="V737" s="213"/>
      <c r="W737" s="5"/>
      <c r="X737" s="219" t="s">
        <v>424</v>
      </c>
      <c r="Y737" s="219"/>
      <c r="Z737" s="219"/>
      <c r="AA737" s="219"/>
      <c r="AB737" s="5"/>
      <c r="AC737" s="214"/>
      <c r="AD737" s="214"/>
      <c r="AE737" s="5"/>
      <c r="AF737" s="5"/>
      <c r="AG737" s="5"/>
      <c r="AH737" s="5"/>
      <c r="AI737" s="5"/>
      <c r="AJ737" s="5"/>
      <c r="AK737" s="5"/>
      <c r="AL737" s="5"/>
      <c r="AM737" s="23"/>
      <c r="AO737" s="3">
        <f>back!K83</f>
        <v>0</v>
      </c>
    </row>
    <row r="738" spans="1:41" ht="15" x14ac:dyDescent="0.2">
      <c r="A738" s="11"/>
      <c r="B738" s="11"/>
      <c r="C738" s="5"/>
      <c r="D738" s="115">
        <v>1</v>
      </c>
      <c r="E738" s="115"/>
      <c r="F738" s="115"/>
      <c r="G738" s="220" t="s">
        <v>425</v>
      </c>
      <c r="H738" s="220"/>
      <c r="I738" s="220"/>
      <c r="J738" s="115" t="s">
        <v>1184</v>
      </c>
      <c r="K738" s="115"/>
      <c r="L738" s="220" t="s">
        <v>1178</v>
      </c>
      <c r="M738" s="220"/>
      <c r="N738" s="221">
        <v>100</v>
      </c>
      <c r="O738" s="222">
        <v>64</v>
      </c>
      <c r="P738" s="222">
        <v>64</v>
      </c>
      <c r="Q738" s="223">
        <v>0</v>
      </c>
      <c r="R738" s="224"/>
      <c r="S738" s="115">
        <v>255</v>
      </c>
      <c r="T738" s="220">
        <v>255</v>
      </c>
      <c r="U738" s="115">
        <v>255</v>
      </c>
      <c r="V738" s="115">
        <v>240</v>
      </c>
      <c r="W738" s="224"/>
      <c r="X738" s="221">
        <v>100</v>
      </c>
      <c r="Y738" s="222">
        <v>64</v>
      </c>
      <c r="Z738" s="222">
        <v>64</v>
      </c>
      <c r="AA738" s="223">
        <v>2</v>
      </c>
      <c r="AB738" s="224"/>
      <c r="AC738" s="115">
        <v>1001</v>
      </c>
      <c r="AD738" s="115"/>
      <c r="AE738" s="29"/>
      <c r="AF738" s="221">
        <v>100</v>
      </c>
      <c r="AG738" s="222">
        <v>64</v>
      </c>
      <c r="AH738" s="222">
        <v>64</v>
      </c>
      <c r="AI738" s="223">
        <v>1</v>
      </c>
      <c r="AJ738" s="5"/>
      <c r="AK738" s="5"/>
      <c r="AL738" s="5"/>
      <c r="AM738" s="23"/>
      <c r="AO738" s="3">
        <f>back!K84</f>
        <v>0</v>
      </c>
    </row>
    <row r="739" spans="1:41" ht="15" x14ac:dyDescent="0.2">
      <c r="A739" s="11"/>
      <c r="B739" s="11"/>
      <c r="C739" s="5"/>
      <c r="D739" s="298">
        <v>2</v>
      </c>
      <c r="E739" s="225"/>
      <c r="F739" s="225"/>
      <c r="G739" s="127" t="s">
        <v>1177</v>
      </c>
      <c r="H739" s="127"/>
      <c r="I739" s="127"/>
      <c r="J739" s="298" t="s">
        <v>1184</v>
      </c>
      <c r="K739" s="298"/>
      <c r="L739" s="127" t="s">
        <v>1179</v>
      </c>
      <c r="M739" s="127"/>
      <c r="N739" s="298">
        <v>100</v>
      </c>
      <c r="O739" s="127">
        <v>64</v>
      </c>
      <c r="P739" s="298">
        <v>64</v>
      </c>
      <c r="Q739" s="299">
        <v>16</v>
      </c>
      <c r="R739" s="224"/>
      <c r="S739" s="298">
        <v>255</v>
      </c>
      <c r="T739" s="127">
        <v>255</v>
      </c>
      <c r="U739" s="298">
        <v>255</v>
      </c>
      <c r="V739" s="299">
        <v>240</v>
      </c>
      <c r="W739" s="224"/>
      <c r="X739" s="298">
        <v>100</v>
      </c>
      <c r="Y739" s="127">
        <v>64</v>
      </c>
      <c r="Z739" s="298">
        <v>64</v>
      </c>
      <c r="AA739" s="299">
        <v>18</v>
      </c>
      <c r="AB739" s="224"/>
      <c r="AC739" s="298">
        <v>1002</v>
      </c>
      <c r="AD739" s="298"/>
      <c r="AE739" s="29"/>
      <c r="AF739" s="298">
        <v>100</v>
      </c>
      <c r="AG739" s="127">
        <v>64</v>
      </c>
      <c r="AH739" s="298">
        <v>64</v>
      </c>
      <c r="AI739" s="299">
        <v>17</v>
      </c>
      <c r="AJ739" s="5"/>
      <c r="AK739" s="5"/>
      <c r="AL739" s="5"/>
      <c r="AM739" s="23"/>
      <c r="AO739" s="3">
        <f>back!K85</f>
        <v>0</v>
      </c>
    </row>
    <row r="740" spans="1:41" ht="15" x14ac:dyDescent="0.2">
      <c r="A740" s="11"/>
      <c r="B740" s="11"/>
      <c r="C740" s="5"/>
      <c r="D740" s="298">
        <v>3</v>
      </c>
      <c r="E740" s="225"/>
      <c r="F740" s="225"/>
      <c r="G740" s="127" t="s">
        <v>1182</v>
      </c>
      <c r="H740" s="127"/>
      <c r="I740" s="127"/>
      <c r="J740" s="298" t="s">
        <v>1184</v>
      </c>
      <c r="K740" s="298"/>
      <c r="L740" s="127" t="s">
        <v>1179</v>
      </c>
      <c r="M740" s="127"/>
      <c r="N740" s="298">
        <v>100</v>
      </c>
      <c r="O740" s="127">
        <v>64</v>
      </c>
      <c r="P740" s="298">
        <v>64</v>
      </c>
      <c r="Q740" s="299">
        <v>32</v>
      </c>
      <c r="R740" s="224"/>
      <c r="S740" s="298">
        <v>255</v>
      </c>
      <c r="T740" s="127">
        <v>255</v>
      </c>
      <c r="U740" s="298">
        <v>255</v>
      </c>
      <c r="V740" s="299">
        <v>240</v>
      </c>
      <c r="W740" s="224"/>
      <c r="X740" s="298">
        <v>100</v>
      </c>
      <c r="Y740" s="127">
        <v>64</v>
      </c>
      <c r="Z740" s="298">
        <v>64</v>
      </c>
      <c r="AA740" s="299">
        <v>34</v>
      </c>
      <c r="AB740" s="224"/>
      <c r="AC740" s="298">
        <v>1003</v>
      </c>
      <c r="AD740" s="298"/>
      <c r="AE740" s="29"/>
      <c r="AF740" s="298">
        <v>100</v>
      </c>
      <c r="AG740" s="127">
        <v>64</v>
      </c>
      <c r="AH740" s="298">
        <v>64</v>
      </c>
      <c r="AI740" s="299">
        <v>33</v>
      </c>
      <c r="AJ740" s="5"/>
      <c r="AK740" s="5"/>
      <c r="AL740" s="5"/>
      <c r="AM740" s="23"/>
      <c r="AO740" s="3">
        <f>back!K86</f>
        <v>0</v>
      </c>
    </row>
    <row r="741" spans="1:41" ht="15" x14ac:dyDescent="0.2">
      <c r="A741" s="11"/>
      <c r="B741" s="11"/>
      <c r="C741" s="5"/>
      <c r="D741" s="298">
        <v>4</v>
      </c>
      <c r="E741" s="225"/>
      <c r="F741" s="225"/>
      <c r="G741" s="226" t="s">
        <v>1185</v>
      </c>
      <c r="H741" s="226"/>
      <c r="I741" s="226"/>
      <c r="J741" s="298" t="s">
        <v>1184</v>
      </c>
      <c r="K741" s="298"/>
      <c r="L741" s="127" t="s">
        <v>1179</v>
      </c>
      <c r="M741" s="226"/>
      <c r="N741" s="298">
        <v>100</v>
      </c>
      <c r="O741" s="127">
        <v>64</v>
      </c>
      <c r="P741" s="298">
        <v>64</v>
      </c>
      <c r="Q741" s="299">
        <v>48</v>
      </c>
      <c r="R741" s="228"/>
      <c r="S741" s="298">
        <v>255</v>
      </c>
      <c r="T741" s="127">
        <v>255</v>
      </c>
      <c r="U741" s="298">
        <v>255</v>
      </c>
      <c r="V741" s="299">
        <v>240</v>
      </c>
      <c r="W741" s="224"/>
      <c r="X741" s="298">
        <v>100</v>
      </c>
      <c r="Y741" s="127">
        <v>64</v>
      </c>
      <c r="Z741" s="298">
        <v>64</v>
      </c>
      <c r="AA741" s="299">
        <v>50</v>
      </c>
      <c r="AB741" s="228"/>
      <c r="AC741" s="298">
        <v>1004</v>
      </c>
      <c r="AD741" s="298"/>
      <c r="AE741" s="29"/>
      <c r="AF741" s="298">
        <v>100</v>
      </c>
      <c r="AG741" s="127">
        <v>64</v>
      </c>
      <c r="AH741" s="298">
        <v>64</v>
      </c>
      <c r="AI741" s="299">
        <v>49</v>
      </c>
      <c r="AJ741" s="5"/>
      <c r="AK741" s="5"/>
      <c r="AL741" s="5"/>
      <c r="AM741" s="23"/>
      <c r="AO741" s="3">
        <f>back!K87</f>
        <v>0</v>
      </c>
    </row>
    <row r="742" spans="1:41" ht="15" x14ac:dyDescent="0.2">
      <c r="A742" s="11"/>
      <c r="B742" s="11"/>
      <c r="C742" s="5"/>
      <c r="D742" s="225"/>
      <c r="E742" s="225"/>
      <c r="F742" s="225"/>
      <c r="G742" s="226"/>
      <c r="H742" s="226"/>
      <c r="I742" s="226"/>
      <c r="J742" s="225"/>
      <c r="K742" s="225"/>
      <c r="L742" s="226"/>
      <c r="M742" s="226"/>
      <c r="N742" s="128"/>
      <c r="O742" s="167"/>
      <c r="P742" s="128"/>
      <c r="Q742" s="227"/>
      <c r="R742" s="228"/>
      <c r="S742" s="128"/>
      <c r="T742" s="167"/>
      <c r="U742" s="128"/>
      <c r="V742" s="227"/>
      <c r="W742" s="228"/>
      <c r="X742" s="128"/>
      <c r="Y742" s="167"/>
      <c r="Z742" s="128"/>
      <c r="AA742" s="227"/>
      <c r="AB742" s="228"/>
      <c r="AC742" s="225"/>
      <c r="AD742" s="225"/>
      <c r="AE742" s="5"/>
      <c r="AF742" s="128"/>
      <c r="AG742" s="167"/>
      <c r="AH742" s="128"/>
      <c r="AI742" s="227"/>
      <c r="AJ742" s="5"/>
      <c r="AK742" s="5"/>
      <c r="AL742" s="5"/>
      <c r="AM742" s="23"/>
      <c r="AO742" s="3">
        <f>back!K88</f>
        <v>0</v>
      </c>
    </row>
    <row r="743" spans="1:41" ht="15" x14ac:dyDescent="0.2">
      <c r="A743" s="11"/>
      <c r="B743" s="11"/>
      <c r="C743" s="5"/>
      <c r="D743" s="225"/>
      <c r="E743" s="225"/>
      <c r="F743" s="225"/>
      <c r="G743" s="226"/>
      <c r="H743" s="226"/>
      <c r="I743" s="226"/>
      <c r="J743" s="225"/>
      <c r="K743" s="225"/>
      <c r="L743" s="226"/>
      <c r="M743" s="226"/>
      <c r="N743" s="128"/>
      <c r="O743" s="167"/>
      <c r="P743" s="128"/>
      <c r="Q743" s="227"/>
      <c r="R743" s="228"/>
      <c r="S743" s="128"/>
      <c r="T743" s="167"/>
      <c r="U743" s="128"/>
      <c r="V743" s="227"/>
      <c r="W743" s="228"/>
      <c r="X743" s="128"/>
      <c r="Y743" s="167"/>
      <c r="Z743" s="128"/>
      <c r="AA743" s="227"/>
      <c r="AB743" s="228"/>
      <c r="AC743" s="225"/>
      <c r="AD743" s="225"/>
      <c r="AE743" s="5"/>
      <c r="AF743" s="128"/>
      <c r="AG743" s="167"/>
      <c r="AH743" s="128"/>
      <c r="AI743" s="227"/>
      <c r="AJ743" s="5"/>
      <c r="AK743" s="5"/>
      <c r="AL743" s="5"/>
      <c r="AM743" s="23"/>
      <c r="AO743" s="3">
        <f>back!K89</f>
        <v>0</v>
      </c>
    </row>
    <row r="744" spans="1:41" ht="15" x14ac:dyDescent="0.2">
      <c r="A744" s="11"/>
      <c r="B744" s="11"/>
      <c r="C744" s="5"/>
      <c r="D744" s="225"/>
      <c r="E744" s="225"/>
      <c r="F744" s="225"/>
      <c r="G744" s="226"/>
      <c r="H744" s="226"/>
      <c r="I744" s="226"/>
      <c r="J744" s="225"/>
      <c r="K744" s="225"/>
      <c r="L744" s="226"/>
      <c r="M744" s="226"/>
      <c r="N744" s="128"/>
      <c r="O744" s="167"/>
      <c r="P744" s="128"/>
      <c r="Q744" s="227"/>
      <c r="R744" s="228"/>
      <c r="S744" s="128"/>
      <c r="T744" s="167"/>
      <c r="U744" s="128"/>
      <c r="V744" s="227"/>
      <c r="W744" s="228"/>
      <c r="X744" s="128"/>
      <c r="Y744" s="167"/>
      <c r="Z744" s="128"/>
      <c r="AA744" s="227"/>
      <c r="AB744" s="228"/>
      <c r="AC744" s="225"/>
      <c r="AD744" s="225"/>
      <c r="AE744" s="5"/>
      <c r="AF744" s="128"/>
      <c r="AG744" s="167"/>
      <c r="AH744" s="128"/>
      <c r="AI744" s="227"/>
      <c r="AJ744" s="5"/>
      <c r="AK744" s="5"/>
      <c r="AL744" s="5"/>
      <c r="AM744" s="23"/>
      <c r="AO744" s="3">
        <f>back!K90</f>
        <v>0</v>
      </c>
    </row>
    <row r="745" spans="1:41" ht="15" x14ac:dyDescent="0.2">
      <c r="A745" s="11"/>
      <c r="B745" s="11"/>
      <c r="C745" s="5"/>
      <c r="D745" s="225"/>
      <c r="E745" s="225"/>
      <c r="F745" s="225"/>
      <c r="G745" s="226"/>
      <c r="H745" s="226"/>
      <c r="I745" s="226"/>
      <c r="J745" s="225"/>
      <c r="K745" s="225"/>
      <c r="L745" s="226"/>
      <c r="M745" s="226"/>
      <c r="N745" s="128"/>
      <c r="O745" s="167"/>
      <c r="P745" s="128"/>
      <c r="Q745" s="227"/>
      <c r="R745" s="228"/>
      <c r="S745" s="128"/>
      <c r="T745" s="167"/>
      <c r="U745" s="128"/>
      <c r="V745" s="227"/>
      <c r="W745" s="228"/>
      <c r="X745" s="128"/>
      <c r="Y745" s="167"/>
      <c r="Z745" s="128"/>
      <c r="AA745" s="227"/>
      <c r="AB745" s="228"/>
      <c r="AC745" s="225"/>
      <c r="AD745" s="225"/>
      <c r="AE745" s="5"/>
      <c r="AF745" s="128"/>
      <c r="AG745" s="167"/>
      <c r="AH745" s="128"/>
      <c r="AI745" s="227"/>
      <c r="AJ745" s="5"/>
      <c r="AK745" s="5"/>
      <c r="AL745" s="5"/>
      <c r="AM745" s="23"/>
      <c r="AO745" s="3">
        <f>back!K91</f>
        <v>0</v>
      </c>
    </row>
    <row r="746" spans="1:41" ht="15" x14ac:dyDescent="0.2">
      <c r="A746" s="11"/>
      <c r="B746" s="11"/>
      <c r="C746" s="5"/>
      <c r="D746" s="225"/>
      <c r="E746" s="225"/>
      <c r="F746" s="225"/>
      <c r="G746" s="226"/>
      <c r="H746" s="226"/>
      <c r="I746" s="226"/>
      <c r="J746" s="225"/>
      <c r="K746" s="225"/>
      <c r="L746" s="226"/>
      <c r="M746" s="226"/>
      <c r="N746" s="128"/>
      <c r="O746" s="167"/>
      <c r="P746" s="128"/>
      <c r="Q746" s="227"/>
      <c r="R746" s="228"/>
      <c r="S746" s="128"/>
      <c r="T746" s="167"/>
      <c r="U746" s="128"/>
      <c r="V746" s="227"/>
      <c r="W746" s="228"/>
      <c r="X746" s="128"/>
      <c r="Y746" s="167"/>
      <c r="Z746" s="128"/>
      <c r="AA746" s="227"/>
      <c r="AB746" s="228"/>
      <c r="AC746" s="225"/>
      <c r="AD746" s="225"/>
      <c r="AE746" s="5"/>
      <c r="AF746" s="128"/>
      <c r="AG746" s="167"/>
      <c r="AH746" s="128"/>
      <c r="AI746" s="227"/>
      <c r="AJ746" s="5"/>
      <c r="AK746" s="5"/>
      <c r="AL746" s="5"/>
      <c r="AM746" s="23"/>
      <c r="AO746" s="3">
        <f>back!K148</f>
        <v>0</v>
      </c>
    </row>
    <row r="747" spans="1:41" ht="15" x14ac:dyDescent="0.2">
      <c r="A747" s="11"/>
      <c r="B747" s="11"/>
      <c r="C747" s="5"/>
      <c r="D747" s="225"/>
      <c r="E747" s="225"/>
      <c r="F747" s="225"/>
      <c r="G747" s="226"/>
      <c r="H747" s="226"/>
      <c r="I747" s="226"/>
      <c r="J747" s="225"/>
      <c r="K747" s="225"/>
      <c r="L747" s="226"/>
      <c r="M747" s="226"/>
      <c r="N747" s="128"/>
      <c r="O747" s="167"/>
      <c r="P747" s="128"/>
      <c r="Q747" s="227"/>
      <c r="R747" s="228"/>
      <c r="S747" s="128"/>
      <c r="T747" s="167"/>
      <c r="U747" s="128"/>
      <c r="V747" s="227"/>
      <c r="W747" s="228"/>
      <c r="X747" s="128"/>
      <c r="Y747" s="167"/>
      <c r="Z747" s="128"/>
      <c r="AA747" s="227"/>
      <c r="AB747" s="228"/>
      <c r="AC747" s="225"/>
      <c r="AD747" s="225"/>
      <c r="AE747" s="5"/>
      <c r="AF747" s="128"/>
      <c r="AG747" s="167"/>
      <c r="AH747" s="128"/>
      <c r="AI747" s="227"/>
      <c r="AJ747" s="5"/>
      <c r="AK747" s="5"/>
      <c r="AL747" s="5"/>
      <c r="AM747" s="23"/>
      <c r="AO747" s="3">
        <f>back!K149</f>
        <v>0</v>
      </c>
    </row>
    <row r="748" spans="1:41" x14ac:dyDescent="0.2">
      <c r="A748" s="11"/>
      <c r="B748" s="11"/>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23"/>
    </row>
    <row r="749" spans="1:41" x14ac:dyDescent="0.2">
      <c r="A749" s="11"/>
      <c r="B749" s="11"/>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23"/>
    </row>
    <row r="750" spans="1:41" ht="33.75" x14ac:dyDescent="0.2">
      <c r="A750" s="11"/>
      <c r="B750" s="11"/>
      <c r="C750" s="5"/>
      <c r="D750" s="210"/>
      <c r="E750" s="211"/>
      <c r="F750" s="211"/>
      <c r="G750" s="212"/>
      <c r="H750" s="213"/>
      <c r="I750" s="213"/>
      <c r="J750" s="5"/>
      <c r="K750" s="67" t="str">
        <f>CONCATENATE("Site nr ",S11,"" )</f>
        <v>Site nr 4</v>
      </c>
      <c r="L750" s="214" t="s">
        <v>414</v>
      </c>
      <c r="M750" s="214"/>
      <c r="N750" s="212" t="s">
        <v>427</v>
      </c>
      <c r="O750" s="212"/>
      <c r="P750" s="212"/>
      <c r="Q750" s="212"/>
      <c r="R750" s="5"/>
      <c r="W750" s="212" t="s">
        <v>427</v>
      </c>
      <c r="X750" s="212"/>
      <c r="Y750" s="229"/>
      <c r="Z750" s="229"/>
      <c r="AB750" s="5"/>
      <c r="AC750" s="212" t="s">
        <v>427</v>
      </c>
      <c r="AD750" s="212"/>
      <c r="AE750" s="212"/>
      <c r="AF750" s="212"/>
      <c r="AG750" s="5"/>
      <c r="AH750" s="5"/>
      <c r="AI750" s="5"/>
      <c r="AJ750" s="214" t="s">
        <v>416</v>
      </c>
      <c r="AK750" s="214"/>
      <c r="AL750" s="5"/>
      <c r="AM750" s="123"/>
    </row>
    <row r="751" spans="1:41" ht="19.5" x14ac:dyDescent="0.2">
      <c r="A751" s="11"/>
      <c r="B751" s="11"/>
      <c r="C751" s="5"/>
      <c r="D751" s="211"/>
      <c r="E751" s="211"/>
      <c r="F751" s="211"/>
      <c r="G751" s="213" t="s">
        <v>417</v>
      </c>
      <c r="H751" s="213"/>
      <c r="I751" s="213"/>
      <c r="J751" s="215" t="s">
        <v>418</v>
      </c>
      <c r="K751" s="215"/>
      <c r="L751" s="216" t="s">
        <v>419</v>
      </c>
      <c r="M751" s="216"/>
      <c r="N751" s="213" t="s">
        <v>420</v>
      </c>
      <c r="O751" s="213"/>
      <c r="P751" s="213"/>
      <c r="Q751" s="213"/>
      <c r="R751" s="5"/>
      <c r="W751" s="213" t="s">
        <v>69</v>
      </c>
      <c r="X751" s="213"/>
      <c r="Y751" s="230"/>
      <c r="Z751" s="230"/>
      <c r="AB751" s="5"/>
      <c r="AC751" s="213" t="s">
        <v>69</v>
      </c>
      <c r="AD751" s="213"/>
      <c r="AE751" s="213"/>
      <c r="AF751" s="213"/>
      <c r="AG751" s="5"/>
      <c r="AH751" s="5"/>
      <c r="AI751" s="5"/>
      <c r="AJ751" s="214"/>
      <c r="AK751" s="214"/>
      <c r="AL751" s="5"/>
      <c r="AM751" s="123"/>
    </row>
    <row r="752" spans="1:41" ht="24" x14ac:dyDescent="0.2">
      <c r="A752" s="11"/>
      <c r="B752" s="11"/>
      <c r="C752" s="5"/>
      <c r="D752" s="211" t="s">
        <v>421</v>
      </c>
      <c r="E752" s="211"/>
      <c r="F752" s="211"/>
      <c r="G752" s="213" t="s">
        <v>422</v>
      </c>
      <c r="H752" s="213"/>
      <c r="I752" s="213"/>
      <c r="J752" s="215"/>
      <c r="K752" s="215"/>
      <c r="L752" s="217" t="s">
        <v>423</v>
      </c>
      <c r="M752" s="217"/>
      <c r="N752" s="213" t="s">
        <v>69</v>
      </c>
      <c r="O752" s="213"/>
      <c r="P752" s="213"/>
      <c r="Q752" s="213"/>
      <c r="R752" s="218"/>
      <c r="W752" s="213" t="s">
        <v>139</v>
      </c>
      <c r="X752" s="213"/>
      <c r="Y752" s="230"/>
      <c r="Z752" s="230"/>
      <c r="AB752" s="5"/>
      <c r="AC752" s="219" t="s">
        <v>424</v>
      </c>
      <c r="AD752" s="219"/>
      <c r="AE752" s="219"/>
      <c r="AF752" s="219"/>
      <c r="AG752" s="5"/>
      <c r="AH752" s="5"/>
      <c r="AI752" s="5"/>
      <c r="AJ752" s="214"/>
      <c r="AK752" s="214"/>
      <c r="AL752" s="5"/>
      <c r="AM752" s="123"/>
    </row>
    <row r="753" spans="1:39" ht="15" x14ac:dyDescent="0.2">
      <c r="A753" s="11"/>
      <c r="B753" s="11"/>
      <c r="C753" s="5"/>
      <c r="D753" s="88"/>
      <c r="E753" s="88"/>
      <c r="F753" s="88"/>
      <c r="G753" s="231"/>
      <c r="H753" s="231"/>
      <c r="I753" s="231"/>
      <c r="J753" s="88" t="s">
        <v>426</v>
      </c>
      <c r="K753" s="88"/>
      <c r="L753" s="231"/>
      <c r="M753" s="231"/>
      <c r="N753" s="127"/>
      <c r="O753" s="127"/>
      <c r="P753" s="127"/>
      <c r="Q753" s="127"/>
      <c r="R753" s="127"/>
      <c r="S753" s="127"/>
      <c r="T753" s="127"/>
      <c r="U753" s="127"/>
      <c r="V753" s="127"/>
      <c r="W753" s="67" t="s">
        <v>143</v>
      </c>
      <c r="X753" s="208"/>
      <c r="Y753" s="228"/>
      <c r="Z753" s="127"/>
      <c r="AA753" s="127"/>
      <c r="AB753" s="127"/>
      <c r="AC753" s="127"/>
      <c r="AD753" s="127"/>
      <c r="AE753" s="127"/>
      <c r="AF753" s="127"/>
      <c r="AG753" s="127"/>
      <c r="AH753" s="127"/>
      <c r="AJ753" s="115"/>
      <c r="AK753" s="115"/>
      <c r="AL753" s="5"/>
      <c r="AM753" s="123"/>
    </row>
    <row r="754" spans="1:39" ht="15" x14ac:dyDescent="0.2">
      <c r="A754" s="11"/>
      <c r="B754" s="11"/>
      <c r="C754" s="5"/>
      <c r="D754" s="225"/>
      <c r="E754" s="225"/>
      <c r="F754" s="225"/>
      <c r="G754" s="226"/>
      <c r="H754" s="226"/>
      <c r="I754" s="226"/>
      <c r="J754" s="225" t="s">
        <v>426</v>
      </c>
      <c r="K754" s="225"/>
      <c r="L754" s="226"/>
      <c r="M754" s="226"/>
      <c r="N754" s="127"/>
      <c r="O754" s="127"/>
      <c r="P754" s="127"/>
      <c r="Q754" s="127"/>
      <c r="R754" s="127"/>
      <c r="S754" s="127"/>
      <c r="T754" s="127"/>
      <c r="U754" s="127"/>
      <c r="V754" s="127"/>
      <c r="W754" s="67" t="s">
        <v>143</v>
      </c>
      <c r="X754" s="227"/>
      <c r="Y754" s="228"/>
      <c r="Z754" s="127"/>
      <c r="AA754" s="127"/>
      <c r="AB754" s="127"/>
      <c r="AC754" s="127"/>
      <c r="AD754" s="127"/>
      <c r="AE754" s="127"/>
      <c r="AF754" s="127"/>
      <c r="AG754" s="127"/>
      <c r="AH754" s="127"/>
      <c r="AJ754" s="115"/>
      <c r="AK754" s="115"/>
      <c r="AL754" s="5"/>
      <c r="AM754" s="123"/>
    </row>
    <row r="755" spans="1:39" ht="15" x14ac:dyDescent="0.2">
      <c r="A755" s="11"/>
      <c r="B755" s="11"/>
      <c r="C755" s="5"/>
      <c r="D755" s="225"/>
      <c r="E755" s="225"/>
      <c r="F755" s="225"/>
      <c r="G755" s="226"/>
      <c r="H755" s="226"/>
      <c r="I755" s="226"/>
      <c r="J755" s="225" t="s">
        <v>426</v>
      </c>
      <c r="K755" s="225"/>
      <c r="L755" s="226"/>
      <c r="M755" s="226"/>
      <c r="N755" s="127"/>
      <c r="O755" s="127"/>
      <c r="P755" s="127"/>
      <c r="Q755" s="127"/>
      <c r="R755" s="127"/>
      <c r="S755" s="127"/>
      <c r="T755" s="127"/>
      <c r="U755" s="127"/>
      <c r="V755" s="127"/>
      <c r="W755" s="67" t="s">
        <v>143</v>
      </c>
      <c r="X755" s="227"/>
      <c r="Y755" s="228"/>
      <c r="Z755" s="127"/>
      <c r="AA755" s="127"/>
      <c r="AB755" s="127"/>
      <c r="AC755" s="127"/>
      <c r="AD755" s="127"/>
      <c r="AE755" s="127"/>
      <c r="AF755" s="127"/>
      <c r="AG755" s="127"/>
      <c r="AH755" s="127"/>
      <c r="AJ755" s="115"/>
      <c r="AK755" s="115"/>
      <c r="AL755" s="5"/>
      <c r="AM755" s="123"/>
    </row>
    <row r="756" spans="1:39" ht="15" x14ac:dyDescent="0.2">
      <c r="A756" s="11"/>
      <c r="B756" s="11"/>
      <c r="C756" s="5"/>
      <c r="D756" s="225"/>
      <c r="E756" s="225"/>
      <c r="F756" s="225"/>
      <c r="G756" s="226"/>
      <c r="H756" s="226"/>
      <c r="I756" s="226"/>
      <c r="J756" s="225" t="s">
        <v>426</v>
      </c>
      <c r="K756" s="225"/>
      <c r="L756" s="226"/>
      <c r="M756" s="226"/>
      <c r="N756" s="127"/>
      <c r="O756" s="127"/>
      <c r="P756" s="127"/>
      <c r="Q756" s="127"/>
      <c r="R756" s="127"/>
      <c r="S756" s="127"/>
      <c r="T756" s="127"/>
      <c r="U756" s="127"/>
      <c r="V756" s="127"/>
      <c r="W756" s="67" t="s">
        <v>143</v>
      </c>
      <c r="X756" s="227"/>
      <c r="Y756" s="228"/>
      <c r="Z756" s="127"/>
      <c r="AA756" s="127"/>
      <c r="AB756" s="127"/>
      <c r="AC756" s="127"/>
      <c r="AD756" s="127"/>
      <c r="AE756" s="127"/>
      <c r="AF756" s="127"/>
      <c r="AG756" s="127"/>
      <c r="AH756" s="127"/>
      <c r="AJ756" s="115"/>
      <c r="AK756" s="115"/>
      <c r="AL756" s="5"/>
      <c r="AM756" s="123"/>
    </row>
    <row r="757" spans="1:39" ht="15" x14ac:dyDescent="0.2">
      <c r="A757" s="11"/>
      <c r="B757" s="11"/>
      <c r="C757" s="5"/>
      <c r="D757" s="225"/>
      <c r="E757" s="225"/>
      <c r="F757" s="225"/>
      <c r="G757" s="226"/>
      <c r="H757" s="226"/>
      <c r="I757" s="226"/>
      <c r="J757" s="225" t="s">
        <v>426</v>
      </c>
      <c r="K757" s="225"/>
      <c r="L757" s="226"/>
      <c r="M757" s="226"/>
      <c r="N757" s="127"/>
      <c r="O757" s="127"/>
      <c r="P757" s="127"/>
      <c r="Q757" s="127"/>
      <c r="R757" s="127"/>
      <c r="S757" s="127"/>
      <c r="T757" s="127"/>
      <c r="U757" s="127"/>
      <c r="V757" s="127"/>
      <c r="W757" s="67" t="s">
        <v>143</v>
      </c>
      <c r="X757" s="227"/>
      <c r="Y757" s="228"/>
      <c r="Z757" s="127"/>
      <c r="AA757" s="127"/>
      <c r="AB757" s="127"/>
      <c r="AC757" s="127"/>
      <c r="AD757" s="127"/>
      <c r="AE757" s="127"/>
      <c r="AF757" s="127"/>
      <c r="AG757" s="127"/>
      <c r="AH757" s="127"/>
      <c r="AJ757" s="115"/>
      <c r="AK757" s="115"/>
      <c r="AL757" s="5"/>
      <c r="AM757" s="123"/>
    </row>
    <row r="758" spans="1:39" ht="15" x14ac:dyDescent="0.2">
      <c r="A758" s="11"/>
      <c r="B758" s="11"/>
      <c r="C758" s="5"/>
      <c r="D758" s="225"/>
      <c r="E758" s="225"/>
      <c r="F758" s="225"/>
      <c r="G758" s="226"/>
      <c r="H758" s="226"/>
      <c r="I758" s="226"/>
      <c r="J758" s="225" t="s">
        <v>426</v>
      </c>
      <c r="K758" s="225"/>
      <c r="L758" s="226"/>
      <c r="M758" s="226"/>
      <c r="N758" s="127"/>
      <c r="O758" s="127"/>
      <c r="P758" s="127"/>
      <c r="Q758" s="127"/>
      <c r="R758" s="127"/>
      <c r="S758" s="127"/>
      <c r="T758" s="127"/>
      <c r="U758" s="127"/>
      <c r="V758" s="127"/>
      <c r="W758" s="67" t="s">
        <v>143</v>
      </c>
      <c r="X758" s="227"/>
      <c r="Y758" s="228"/>
      <c r="Z758" s="127"/>
      <c r="AA758" s="127"/>
      <c r="AB758" s="127"/>
      <c r="AC758" s="127"/>
      <c r="AD758" s="127"/>
      <c r="AE758" s="127"/>
      <c r="AF758" s="127"/>
      <c r="AG758" s="127"/>
      <c r="AH758" s="127"/>
      <c r="AJ758" s="115"/>
      <c r="AK758" s="115"/>
      <c r="AL758" s="5"/>
      <c r="AM758" s="123"/>
    </row>
    <row r="759" spans="1:39" ht="15" x14ac:dyDescent="0.2">
      <c r="A759" s="11"/>
      <c r="B759" s="11"/>
      <c r="C759" s="5"/>
      <c r="D759" s="225"/>
      <c r="E759" s="225"/>
      <c r="F759" s="225"/>
      <c r="G759" s="226"/>
      <c r="H759" s="226"/>
      <c r="I759" s="226"/>
      <c r="J759" s="225" t="s">
        <v>426</v>
      </c>
      <c r="K759" s="225"/>
      <c r="L759" s="226"/>
      <c r="M759" s="226"/>
      <c r="N759" s="127"/>
      <c r="O759" s="127"/>
      <c r="P759" s="127"/>
      <c r="Q759" s="127"/>
      <c r="R759" s="127"/>
      <c r="S759" s="127"/>
      <c r="T759" s="127"/>
      <c r="U759" s="127"/>
      <c r="V759" s="127"/>
      <c r="W759" s="67" t="s">
        <v>143</v>
      </c>
      <c r="X759" s="227"/>
      <c r="Y759" s="228"/>
      <c r="Z759" s="127"/>
      <c r="AA759" s="127"/>
      <c r="AB759" s="127"/>
      <c r="AC759" s="127"/>
      <c r="AD759" s="127"/>
      <c r="AE759" s="127"/>
      <c r="AF759" s="127"/>
      <c r="AG759" s="127"/>
      <c r="AH759" s="127"/>
      <c r="AJ759" s="115"/>
      <c r="AK759" s="115"/>
      <c r="AL759" s="5"/>
      <c r="AM759" s="123"/>
    </row>
    <row r="760" spans="1:39" ht="15" x14ac:dyDescent="0.2">
      <c r="A760" s="11"/>
      <c r="B760" s="11"/>
      <c r="C760" s="5"/>
      <c r="D760" s="225"/>
      <c r="E760" s="225"/>
      <c r="F760" s="225"/>
      <c r="G760" s="226"/>
      <c r="H760" s="226"/>
      <c r="I760" s="226"/>
      <c r="J760" s="225" t="s">
        <v>426</v>
      </c>
      <c r="K760" s="225"/>
      <c r="L760" s="226"/>
      <c r="M760" s="226"/>
      <c r="N760" s="127"/>
      <c r="O760" s="127"/>
      <c r="P760" s="127"/>
      <c r="Q760" s="127"/>
      <c r="R760" s="127"/>
      <c r="S760" s="127"/>
      <c r="T760" s="127"/>
      <c r="U760" s="127"/>
      <c r="V760" s="127"/>
      <c r="W760" s="67" t="s">
        <v>143</v>
      </c>
      <c r="X760" s="227"/>
      <c r="Y760" s="228"/>
      <c r="Z760" s="127"/>
      <c r="AA760" s="127"/>
      <c r="AB760" s="127"/>
      <c r="AC760" s="127"/>
      <c r="AD760" s="127"/>
      <c r="AE760" s="127"/>
      <c r="AF760" s="127"/>
      <c r="AG760" s="127"/>
      <c r="AH760" s="127"/>
      <c r="AJ760" s="115"/>
      <c r="AK760" s="115"/>
      <c r="AL760" s="5"/>
      <c r="AM760" s="123"/>
    </row>
    <row r="761" spans="1:39" ht="15" x14ac:dyDescent="0.2">
      <c r="A761" s="11"/>
      <c r="B761" s="11"/>
      <c r="C761" s="5"/>
      <c r="D761" s="225"/>
      <c r="E761" s="225"/>
      <c r="F761" s="225"/>
      <c r="G761" s="226"/>
      <c r="H761" s="226"/>
      <c r="I761" s="226"/>
      <c r="J761" s="225" t="s">
        <v>426</v>
      </c>
      <c r="K761" s="225"/>
      <c r="L761" s="226"/>
      <c r="M761" s="226"/>
      <c r="N761" s="127"/>
      <c r="O761" s="127"/>
      <c r="P761" s="127"/>
      <c r="Q761" s="127"/>
      <c r="R761" s="127"/>
      <c r="S761" s="127"/>
      <c r="T761" s="127"/>
      <c r="U761" s="127"/>
      <c r="V761" s="127"/>
      <c r="W761" s="67" t="s">
        <v>143</v>
      </c>
      <c r="X761" s="227"/>
      <c r="Y761" s="228"/>
      <c r="Z761" s="127"/>
      <c r="AA761" s="127"/>
      <c r="AB761" s="127"/>
      <c r="AC761" s="127"/>
      <c r="AD761" s="127"/>
      <c r="AE761" s="127"/>
      <c r="AF761" s="127"/>
      <c r="AG761" s="127"/>
      <c r="AH761" s="127"/>
      <c r="AJ761" s="115"/>
      <c r="AK761" s="115"/>
      <c r="AL761" s="5"/>
      <c r="AM761" s="123"/>
    </row>
    <row r="762" spans="1:39" ht="15" x14ac:dyDescent="0.2">
      <c r="A762" s="11"/>
      <c r="B762" s="11"/>
      <c r="C762" s="5"/>
      <c r="D762" s="225"/>
      <c r="E762" s="225"/>
      <c r="F762" s="225"/>
      <c r="G762" s="226"/>
      <c r="H762" s="226"/>
      <c r="I762" s="226"/>
      <c r="J762" s="225" t="s">
        <v>426</v>
      </c>
      <c r="K762" s="225"/>
      <c r="L762" s="226"/>
      <c r="M762" s="226"/>
      <c r="N762" s="127"/>
      <c r="O762" s="127"/>
      <c r="P762" s="127"/>
      <c r="Q762" s="127"/>
      <c r="R762" s="127"/>
      <c r="S762" s="127"/>
      <c r="T762" s="127"/>
      <c r="U762" s="127"/>
      <c r="V762" s="127"/>
      <c r="W762" s="67" t="s">
        <v>143</v>
      </c>
      <c r="X762" s="227"/>
      <c r="Y762" s="228"/>
      <c r="Z762" s="127"/>
      <c r="AA762" s="127"/>
      <c r="AB762" s="127"/>
      <c r="AC762" s="127"/>
      <c r="AD762" s="127"/>
      <c r="AE762" s="127"/>
      <c r="AF762" s="127"/>
      <c r="AG762" s="127"/>
      <c r="AH762" s="127"/>
      <c r="AJ762" s="115"/>
      <c r="AK762" s="115"/>
      <c r="AL762" s="5"/>
      <c r="AM762" s="123"/>
    </row>
    <row r="763" spans="1:39" x14ac:dyDescent="0.2">
      <c r="A763" s="11"/>
      <c r="B763" s="11"/>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23"/>
    </row>
    <row r="764" spans="1:39" x14ac:dyDescent="0.2">
      <c r="A764" s="11"/>
      <c r="B764" s="11"/>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23"/>
    </row>
    <row r="765" spans="1:39" x14ac:dyDescent="0.2">
      <c r="A765" s="11"/>
      <c r="B765" s="11"/>
      <c r="C765" s="21" t="s">
        <v>428</v>
      </c>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23"/>
    </row>
    <row r="766" spans="1:39" x14ac:dyDescent="0.2">
      <c r="A766" s="11"/>
      <c r="B766" s="36"/>
      <c r="C766" s="39" t="s">
        <v>25</v>
      </c>
      <c r="D766" s="27"/>
      <c r="E766" s="39" t="str">
        <f>IF(D766&lt;&gt;"","Please check the ‘+’ icon to the left and provide the necessary information","")</f>
        <v/>
      </c>
      <c r="F766" s="39"/>
      <c r="G766" s="39"/>
      <c r="H766" s="39"/>
      <c r="I766" s="37"/>
      <c r="J766" s="37"/>
      <c r="K766" s="5"/>
      <c r="L766" s="13"/>
      <c r="M766" s="37"/>
      <c r="N766" s="37"/>
      <c r="O766" s="37"/>
      <c r="P766" s="37"/>
      <c r="Q766" s="37"/>
      <c r="R766" s="37"/>
      <c r="S766" s="37"/>
      <c r="T766" s="37"/>
      <c r="U766" s="37"/>
      <c r="V766" s="48"/>
      <c r="W766" s="37"/>
      <c r="X766" s="37"/>
      <c r="Y766" s="37"/>
      <c r="Z766" s="37"/>
      <c r="AA766" s="37"/>
      <c r="AB766" s="37"/>
      <c r="AC766" s="37"/>
      <c r="AD766" s="37"/>
      <c r="AE766" s="5"/>
      <c r="AF766" s="5"/>
      <c r="AG766" s="5"/>
      <c r="AH766" s="5"/>
      <c r="AI766" s="5"/>
      <c r="AJ766" s="5"/>
      <c r="AK766" s="5"/>
      <c r="AL766" s="5"/>
      <c r="AM766" s="23"/>
    </row>
    <row r="767" spans="1:39" x14ac:dyDescent="0.2">
      <c r="A767" s="11"/>
      <c r="B767" s="36"/>
      <c r="C767" s="39" t="s">
        <v>27</v>
      </c>
      <c r="D767" s="28" t="s">
        <v>9</v>
      </c>
      <c r="E767" s="41"/>
      <c r="F767" s="49"/>
      <c r="G767" s="49"/>
      <c r="H767" s="49"/>
      <c r="I767" s="37"/>
      <c r="J767" s="37"/>
      <c r="K767" s="5"/>
      <c r="L767" s="13"/>
      <c r="M767" s="37"/>
      <c r="N767" s="37"/>
      <c r="O767" s="37"/>
      <c r="P767" s="37"/>
      <c r="Q767" s="37"/>
      <c r="R767" s="37"/>
      <c r="S767" s="37"/>
      <c r="T767" s="37"/>
      <c r="U767" s="37"/>
      <c r="V767" s="37"/>
      <c r="W767" s="37"/>
      <c r="X767" s="37"/>
      <c r="Y767" s="37"/>
      <c r="Z767" s="37"/>
      <c r="AA767" s="37"/>
      <c r="AB767" s="37"/>
      <c r="AC767" s="37"/>
      <c r="AD767" s="37"/>
      <c r="AE767" s="5"/>
      <c r="AF767" s="5"/>
      <c r="AG767" s="5"/>
      <c r="AH767" s="5"/>
      <c r="AI767" s="5"/>
      <c r="AJ767" s="5"/>
      <c r="AK767" s="5"/>
      <c r="AL767" s="5"/>
      <c r="AM767" s="23"/>
    </row>
    <row r="768" spans="1:39" x14ac:dyDescent="0.2">
      <c r="A768" s="11"/>
      <c r="B768" s="11"/>
      <c r="C768" s="21"/>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23"/>
    </row>
    <row r="769" spans="1:39" x14ac:dyDescent="0.2">
      <c r="A769" s="11"/>
      <c r="B769" s="11"/>
      <c r="C769" s="29" t="s">
        <v>15</v>
      </c>
      <c r="D769" s="5" t="s">
        <v>429</v>
      </c>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23"/>
    </row>
    <row r="770" spans="1:39" ht="89.25" x14ac:dyDescent="0.2">
      <c r="A770" s="11"/>
      <c r="B770" s="11"/>
      <c r="C770" s="29" t="s">
        <v>269</v>
      </c>
      <c r="D770" s="5"/>
      <c r="E770" s="5"/>
      <c r="F770" s="5"/>
      <c r="G770" s="5"/>
      <c r="H770" s="232" t="s">
        <v>430</v>
      </c>
      <c r="I770" s="232"/>
      <c r="J770" s="232"/>
      <c r="K770" s="232"/>
      <c r="L770" s="232"/>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23"/>
    </row>
    <row r="771" spans="1:39" ht="63.75" x14ac:dyDescent="0.2">
      <c r="A771" s="11"/>
      <c r="B771" s="11"/>
      <c r="C771" s="29" t="s">
        <v>269</v>
      </c>
      <c r="D771" s="5" t="s">
        <v>431</v>
      </c>
      <c r="E771" s="5"/>
      <c r="F771" s="5"/>
      <c r="G771" s="5"/>
      <c r="H771" s="232"/>
      <c r="I771" s="232"/>
      <c r="J771" s="232"/>
      <c r="K771" s="232"/>
      <c r="L771" s="232"/>
      <c r="M771" s="5"/>
      <c r="N771" s="5"/>
      <c r="O771" s="233" t="s">
        <v>432</v>
      </c>
      <c r="P771" s="233"/>
      <c r="Q771" s="233"/>
      <c r="R771" s="233"/>
      <c r="S771" s="233"/>
      <c r="T771" s="5"/>
      <c r="U771" s="5"/>
      <c r="V771" s="5"/>
      <c r="W771" s="5"/>
      <c r="X771" s="5"/>
      <c r="Y771" s="5"/>
      <c r="Z771" s="5"/>
      <c r="AA771" s="5"/>
      <c r="AB771" s="5"/>
      <c r="AC771" s="5"/>
      <c r="AD771" s="5"/>
      <c r="AE771" s="5"/>
      <c r="AF771" s="5"/>
      <c r="AG771" s="5"/>
      <c r="AH771" s="5"/>
      <c r="AI771" s="5"/>
      <c r="AJ771" s="5"/>
      <c r="AK771" s="5"/>
      <c r="AL771" s="5"/>
      <c r="AM771" s="23"/>
    </row>
    <row r="772" spans="1:39" x14ac:dyDescent="0.2">
      <c r="A772" s="11"/>
      <c r="B772" s="11"/>
      <c r="C772" s="29" t="s">
        <v>269</v>
      </c>
      <c r="D772" s="5" t="s">
        <v>433</v>
      </c>
      <c r="E772" s="5"/>
      <c r="F772" s="5"/>
      <c r="G772" s="5"/>
      <c r="H772" s="109"/>
      <c r="I772" s="5" t="s">
        <v>434</v>
      </c>
      <c r="J772" s="5"/>
      <c r="K772" s="200" t="s">
        <v>435</v>
      </c>
      <c r="L772" s="5"/>
      <c r="M772" s="5"/>
      <c r="N772" s="5"/>
      <c r="O772" s="234" t="s">
        <v>436</v>
      </c>
      <c r="P772" s="235"/>
      <c r="Q772" s="235"/>
      <c r="R772" s="236" t="str">
        <f>IF(H772&gt;50,"Error: max allocation is 50% for this class","")</f>
        <v/>
      </c>
      <c r="S772" s="235"/>
      <c r="T772" s="5"/>
      <c r="U772" s="5"/>
      <c r="V772" s="5"/>
      <c r="W772" s="5"/>
      <c r="X772" s="5"/>
      <c r="Y772" s="5"/>
      <c r="Z772" s="5"/>
      <c r="AA772" s="5"/>
      <c r="AB772" s="5"/>
      <c r="AC772" s="5"/>
      <c r="AD772" s="5"/>
      <c r="AE772" s="5"/>
      <c r="AF772" s="5"/>
      <c r="AG772" s="5"/>
      <c r="AH772" s="5"/>
      <c r="AI772" s="5"/>
      <c r="AJ772" s="5"/>
      <c r="AK772" s="5"/>
      <c r="AL772" s="5"/>
      <c r="AM772" s="23"/>
    </row>
    <row r="773" spans="1:39" x14ac:dyDescent="0.2">
      <c r="A773" s="11"/>
      <c r="B773" s="11"/>
      <c r="C773" s="29" t="s">
        <v>269</v>
      </c>
      <c r="D773" s="5" t="s">
        <v>437</v>
      </c>
      <c r="E773" s="5"/>
      <c r="F773" s="5"/>
      <c r="G773" s="5"/>
      <c r="H773" s="128"/>
      <c r="I773" s="5" t="s">
        <v>434</v>
      </c>
      <c r="J773" s="5"/>
      <c r="K773" s="200" t="s">
        <v>438</v>
      </c>
      <c r="L773" s="5"/>
      <c r="M773" s="5"/>
      <c r="N773" s="5"/>
      <c r="O773" s="234" t="s">
        <v>439</v>
      </c>
      <c r="P773" s="235"/>
      <c r="Q773" s="235"/>
      <c r="R773" s="236"/>
      <c r="S773" s="235"/>
      <c r="T773" s="5"/>
      <c r="U773" s="5"/>
      <c r="V773" s="5"/>
      <c r="W773" s="5"/>
      <c r="X773" s="5"/>
      <c r="Y773" s="5"/>
      <c r="Z773" s="5"/>
      <c r="AA773" s="5"/>
      <c r="AB773" s="5"/>
      <c r="AC773" s="5"/>
      <c r="AD773" s="5"/>
      <c r="AE773" s="5"/>
      <c r="AF773" s="5"/>
      <c r="AG773" s="5"/>
      <c r="AH773" s="5"/>
      <c r="AI773" s="5"/>
      <c r="AJ773" s="5"/>
      <c r="AK773" s="5"/>
      <c r="AL773" s="5"/>
      <c r="AM773" s="23"/>
    </row>
    <row r="774" spans="1:39" x14ac:dyDescent="0.2">
      <c r="A774" s="11"/>
      <c r="B774" s="11"/>
      <c r="C774" s="29" t="s">
        <v>269</v>
      </c>
      <c r="D774" s="5" t="s">
        <v>440</v>
      </c>
      <c r="E774" s="5"/>
      <c r="F774" s="5"/>
      <c r="G774" s="5"/>
      <c r="H774" s="128"/>
      <c r="I774" s="5" t="s">
        <v>434</v>
      </c>
      <c r="J774" s="5"/>
      <c r="K774" s="200" t="s">
        <v>438</v>
      </c>
      <c r="L774" s="5"/>
      <c r="M774" s="5"/>
      <c r="N774" s="5"/>
      <c r="O774" s="234" t="s">
        <v>441</v>
      </c>
      <c r="P774" s="235"/>
      <c r="Q774" s="235"/>
      <c r="R774" s="236"/>
      <c r="S774" s="235"/>
      <c r="T774" s="5"/>
      <c r="U774" s="5"/>
      <c r="V774" s="5"/>
      <c r="W774" s="5"/>
      <c r="X774" s="5"/>
      <c r="Y774" s="5"/>
      <c r="Z774" s="5"/>
      <c r="AA774" s="5"/>
      <c r="AB774" s="5"/>
      <c r="AC774" s="5"/>
      <c r="AD774" s="5"/>
      <c r="AE774" s="5"/>
      <c r="AF774" s="5"/>
      <c r="AG774" s="5"/>
      <c r="AH774" s="5"/>
      <c r="AI774" s="5"/>
      <c r="AJ774" s="5"/>
      <c r="AK774" s="5"/>
      <c r="AL774" s="5"/>
      <c r="AM774" s="23"/>
    </row>
    <row r="775" spans="1:39" x14ac:dyDescent="0.2">
      <c r="A775" s="11"/>
      <c r="B775" s="11"/>
      <c r="C775" s="29" t="s">
        <v>269</v>
      </c>
      <c r="D775" s="5" t="s">
        <v>442</v>
      </c>
      <c r="E775" s="5"/>
      <c r="F775" s="5"/>
      <c r="G775" s="5"/>
      <c r="H775" s="128"/>
      <c r="I775" s="5" t="s">
        <v>434</v>
      </c>
      <c r="J775" s="5"/>
      <c r="K775" s="200" t="s">
        <v>438</v>
      </c>
      <c r="L775" s="5"/>
      <c r="M775" s="5"/>
      <c r="N775" s="5"/>
      <c r="O775" s="234" t="s">
        <v>443</v>
      </c>
      <c r="P775" s="235"/>
      <c r="Q775" s="235"/>
      <c r="R775" s="236"/>
      <c r="S775" s="235"/>
      <c r="T775" s="5"/>
      <c r="U775" s="5"/>
      <c r="V775" s="5"/>
      <c r="W775" s="5"/>
      <c r="X775" s="5"/>
      <c r="Y775" s="5"/>
      <c r="Z775" s="5"/>
      <c r="AA775" s="5"/>
      <c r="AB775" s="5"/>
      <c r="AC775" s="5"/>
      <c r="AD775" s="5"/>
      <c r="AE775" s="5"/>
      <c r="AF775" s="5"/>
      <c r="AG775" s="5"/>
      <c r="AH775" s="5"/>
      <c r="AI775" s="5"/>
      <c r="AJ775" s="5"/>
      <c r="AK775" s="5"/>
      <c r="AL775" s="5"/>
      <c r="AM775" s="23"/>
    </row>
    <row r="776" spans="1:39" x14ac:dyDescent="0.2">
      <c r="A776" s="11"/>
      <c r="B776" s="11"/>
      <c r="C776" s="29" t="s">
        <v>269</v>
      </c>
      <c r="D776" s="5" t="s">
        <v>444</v>
      </c>
      <c r="E776" s="5"/>
      <c r="F776" s="5"/>
      <c r="G776" s="5"/>
      <c r="H776" s="128">
        <v>10</v>
      </c>
      <c r="I776" s="5" t="s">
        <v>434</v>
      </c>
      <c r="J776" s="5"/>
      <c r="K776" s="200" t="s">
        <v>445</v>
      </c>
      <c r="L776" s="5"/>
      <c r="M776" s="5"/>
      <c r="N776" s="5"/>
      <c r="O776" s="234">
        <v>0</v>
      </c>
      <c r="P776" s="235"/>
      <c r="Q776" s="235"/>
      <c r="R776" s="236" t="str">
        <f>IF(H776&lt;10,"Error: min allocation is 10% for this class","")</f>
        <v/>
      </c>
      <c r="S776" s="235"/>
      <c r="T776" s="5"/>
      <c r="U776" s="5"/>
      <c r="V776" s="5"/>
      <c r="W776" s="5"/>
      <c r="X776" s="5"/>
      <c r="Y776" s="5"/>
      <c r="Z776" s="5"/>
      <c r="AA776" s="5"/>
      <c r="AB776" s="5"/>
      <c r="AC776" s="5"/>
      <c r="AD776" s="5"/>
      <c r="AE776" s="5"/>
      <c r="AF776" s="5"/>
      <c r="AG776" s="5"/>
      <c r="AH776" s="5"/>
      <c r="AI776" s="5"/>
      <c r="AJ776" s="5"/>
      <c r="AK776" s="5"/>
      <c r="AL776" s="5"/>
      <c r="AM776" s="23"/>
    </row>
    <row r="777" spans="1:39" x14ac:dyDescent="0.2">
      <c r="A777" s="11"/>
      <c r="B777" s="11"/>
      <c r="C777" s="29" t="s">
        <v>269</v>
      </c>
      <c r="D777" s="5" t="s">
        <v>446</v>
      </c>
      <c r="E777" s="5"/>
      <c r="F777" s="5"/>
      <c r="G777" s="5"/>
      <c r="H777" s="237">
        <f>SUM(H772:H776)</f>
        <v>10</v>
      </c>
      <c r="I777" s="5" t="s">
        <v>434</v>
      </c>
      <c r="J777" s="5"/>
      <c r="K777" s="200" t="s">
        <v>447</v>
      </c>
      <c r="L777" s="5"/>
      <c r="M777" s="5"/>
      <c r="N777" s="5"/>
      <c r="O777" s="5"/>
      <c r="P777" s="5"/>
      <c r="Q777" s="5"/>
      <c r="R777" s="100" t="str">
        <f>IF(H777&gt;95,"Error: max allocation in total is 95%","")</f>
        <v/>
      </c>
      <c r="S777" s="5"/>
      <c r="T777" s="5"/>
      <c r="U777" s="5"/>
      <c r="V777" s="5"/>
      <c r="W777" s="5"/>
      <c r="X777" s="5"/>
      <c r="Y777" s="5"/>
      <c r="Z777" s="5"/>
      <c r="AA777" s="5"/>
      <c r="AB777" s="5"/>
      <c r="AC777" s="5"/>
      <c r="AD777" s="5"/>
      <c r="AE777" s="5"/>
      <c r="AF777" s="5"/>
      <c r="AG777" s="5"/>
      <c r="AH777" s="5"/>
      <c r="AI777" s="5"/>
      <c r="AJ777" s="5"/>
      <c r="AK777" s="5"/>
      <c r="AL777" s="5"/>
      <c r="AM777" s="23"/>
    </row>
    <row r="778" spans="1:39" x14ac:dyDescent="0.2">
      <c r="A778" s="11"/>
      <c r="B778" s="11"/>
      <c r="C778" s="29" t="s">
        <v>269</v>
      </c>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23"/>
    </row>
    <row r="779" spans="1:39" x14ac:dyDescent="0.2">
      <c r="A779" s="11"/>
      <c r="B779" s="11"/>
      <c r="C779" s="29" t="s">
        <v>15</v>
      </c>
      <c r="D779" s="27" t="s">
        <v>9</v>
      </c>
      <c r="E779" s="5" t="s">
        <v>448</v>
      </c>
      <c r="F779" s="5"/>
      <c r="G779" s="5"/>
      <c r="H779" s="5"/>
      <c r="I779" s="5"/>
      <c r="J779" s="5"/>
      <c r="K779" s="5"/>
      <c r="L779" s="5"/>
      <c r="M779" s="5"/>
      <c r="N779" s="5"/>
      <c r="O779" s="5"/>
      <c r="P779" s="5"/>
      <c r="Q779" s="5"/>
      <c r="R779" s="5"/>
      <c r="S779" s="5"/>
      <c r="T779" s="5"/>
      <c r="U779" s="5"/>
      <c r="W779" s="5"/>
      <c r="X779" s="5"/>
      <c r="Y779" s="5"/>
      <c r="Z779" s="5"/>
      <c r="AA779" s="5"/>
      <c r="AB779" s="5"/>
      <c r="AC779" s="5"/>
      <c r="AD779" s="5"/>
      <c r="AE779" s="5"/>
      <c r="AF779" s="5"/>
      <c r="AG779" s="5"/>
      <c r="AH779" s="5"/>
      <c r="AI779" s="5"/>
      <c r="AJ779" s="5"/>
      <c r="AK779" s="5"/>
      <c r="AL779" s="5"/>
      <c r="AM779" s="23"/>
    </row>
    <row r="780" spans="1:39" x14ac:dyDescent="0.2">
      <c r="A780" s="11"/>
      <c r="B780" s="11"/>
      <c r="C780" s="29"/>
      <c r="D780" s="28"/>
      <c r="E780" s="5" t="s">
        <v>449</v>
      </c>
      <c r="F780" s="5"/>
      <c r="G780" s="5"/>
      <c r="H780" s="39" t="str">
        <f>IF(D780&lt;&gt;"","Please check the ‘+’ icon to the left and provide the necessary information","")</f>
        <v/>
      </c>
      <c r="I780" s="5"/>
      <c r="J780" s="5"/>
      <c r="K780" s="5"/>
      <c r="L780" s="5"/>
      <c r="M780" s="5"/>
      <c r="N780" s="5"/>
      <c r="O780" s="5"/>
      <c r="P780" s="5"/>
      <c r="Q780" s="5"/>
      <c r="R780" s="5"/>
      <c r="S780" s="5"/>
      <c r="T780" s="5"/>
      <c r="U780" s="5"/>
      <c r="W780" s="5"/>
      <c r="X780" s="5"/>
      <c r="Y780" s="5"/>
      <c r="Z780" s="5"/>
      <c r="AA780" s="5"/>
      <c r="AB780" s="5"/>
      <c r="AC780" s="5"/>
      <c r="AD780" s="5"/>
      <c r="AE780" s="5"/>
      <c r="AF780" s="5"/>
      <c r="AG780" s="5"/>
      <c r="AH780" s="5"/>
      <c r="AI780" s="5"/>
      <c r="AJ780" s="5"/>
      <c r="AK780" s="5"/>
      <c r="AL780" s="5"/>
      <c r="AM780" s="23"/>
    </row>
    <row r="781" spans="1:39" x14ac:dyDescent="0.2">
      <c r="A781" s="11"/>
      <c r="B781" s="11"/>
      <c r="C781" s="29"/>
      <c r="D781" s="29" t="s">
        <v>269</v>
      </c>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23"/>
    </row>
    <row r="782" spans="1:39" x14ac:dyDescent="0.2">
      <c r="A782" s="11"/>
      <c r="B782" s="11"/>
      <c r="D782" s="29" t="s">
        <v>269</v>
      </c>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23"/>
    </row>
    <row r="783" spans="1:39" x14ac:dyDescent="0.2">
      <c r="A783" s="11"/>
      <c r="B783" s="11"/>
      <c r="D783" s="29" t="s">
        <v>15</v>
      </c>
      <c r="E783" s="5" t="s">
        <v>450</v>
      </c>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23"/>
    </row>
    <row r="784" spans="1:39" x14ac:dyDescent="0.2">
      <c r="A784" s="11"/>
      <c r="B784" s="11"/>
      <c r="D784" s="5"/>
      <c r="E784" s="13" t="s">
        <v>451</v>
      </c>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23"/>
    </row>
    <row r="785" spans="1:39" ht="145.5" x14ac:dyDescent="0.2">
      <c r="A785" s="11"/>
      <c r="B785" s="11"/>
      <c r="C785" s="5"/>
      <c r="D785" s="5"/>
      <c r="E785" s="5"/>
      <c r="F785" s="5"/>
      <c r="G785" s="179"/>
      <c r="H785" s="238" t="s">
        <v>452</v>
      </c>
      <c r="I785" s="179"/>
      <c r="J785" s="179"/>
      <c r="K785" s="179"/>
      <c r="L785" s="179"/>
      <c r="M785" s="238" t="s">
        <v>453</v>
      </c>
      <c r="N785" s="179"/>
      <c r="O785" s="179"/>
      <c r="P785" s="179"/>
      <c r="Q785" s="238" t="s">
        <v>258</v>
      </c>
      <c r="R785" s="179"/>
      <c r="S785" s="179"/>
      <c r="T785" s="238" t="s">
        <v>454</v>
      </c>
      <c r="U785" s="179"/>
      <c r="V785" s="179"/>
      <c r="W785" s="179"/>
      <c r="X785" s="179"/>
      <c r="Y785" s="238" t="s">
        <v>455</v>
      </c>
      <c r="Z785" s="179"/>
      <c r="AA785" s="179"/>
      <c r="AB785" s="179"/>
      <c r="AC785" s="238" t="s">
        <v>261</v>
      </c>
      <c r="AD785" s="179"/>
      <c r="AE785" s="238" t="s">
        <v>262</v>
      </c>
      <c r="AF785" s="5"/>
      <c r="AG785" s="5"/>
      <c r="AH785" s="5"/>
      <c r="AI785" s="5"/>
      <c r="AJ785" s="5"/>
      <c r="AK785" s="5"/>
      <c r="AL785" s="5"/>
      <c r="AM785" s="23"/>
    </row>
    <row r="786" spans="1:39" ht="15" x14ac:dyDescent="0.2">
      <c r="A786" s="11"/>
      <c r="B786" s="11"/>
      <c r="C786" s="5"/>
      <c r="D786" s="5" t="s">
        <v>433</v>
      </c>
      <c r="E786" s="5"/>
      <c r="F786" s="5"/>
      <c r="G786" s="204"/>
      <c r="H786" s="177"/>
      <c r="I786" s="204"/>
      <c r="J786" s="205"/>
      <c r="K786" s="179"/>
      <c r="L786" s="204"/>
      <c r="M786" s="177"/>
      <c r="N786" s="204"/>
      <c r="O786" s="205"/>
      <c r="P786" s="179"/>
      <c r="Q786" s="204"/>
      <c r="R786" s="179"/>
      <c r="S786" s="204"/>
      <c r="T786" s="177"/>
      <c r="U786" s="204"/>
      <c r="V786" s="205"/>
      <c r="W786" s="179"/>
      <c r="X786" s="204"/>
      <c r="Y786" s="177"/>
      <c r="Z786" s="204"/>
      <c r="AA786" s="205"/>
      <c r="AB786" s="179"/>
      <c r="AC786" s="204"/>
      <c r="AD786" s="179"/>
      <c r="AE786" s="204"/>
      <c r="AF786" s="5"/>
      <c r="AG786" s="5"/>
      <c r="AH786" s="5"/>
      <c r="AI786" s="5"/>
      <c r="AJ786" s="5"/>
      <c r="AK786" s="5"/>
      <c r="AL786" s="5"/>
      <c r="AM786" s="23"/>
    </row>
    <row r="787" spans="1:39" ht="15" x14ac:dyDescent="0.2">
      <c r="A787" s="11"/>
      <c r="B787" s="11"/>
      <c r="C787" s="5"/>
      <c r="D787" s="5"/>
      <c r="E787" s="5"/>
      <c r="F787" s="5"/>
      <c r="G787" s="204"/>
      <c r="H787" s="177"/>
      <c r="I787" s="204"/>
      <c r="J787" s="205"/>
      <c r="K787" s="179"/>
      <c r="L787" s="204"/>
      <c r="M787" s="177"/>
      <c r="N787" s="204"/>
      <c r="O787" s="205"/>
      <c r="P787" s="179"/>
      <c r="Q787" s="202"/>
      <c r="R787" s="179"/>
      <c r="S787" s="204"/>
      <c r="T787" s="177"/>
      <c r="U787" s="204"/>
      <c r="V787" s="205"/>
      <c r="W787" s="179"/>
      <c r="X787" s="204"/>
      <c r="Y787" s="177"/>
      <c r="Z787" s="204"/>
      <c r="AA787" s="205"/>
      <c r="AB787" s="179"/>
      <c r="AC787" s="202"/>
      <c r="AD787" s="179"/>
      <c r="AE787" s="202"/>
      <c r="AF787" s="5"/>
      <c r="AG787" s="5"/>
      <c r="AH787" s="5"/>
      <c r="AI787" s="5"/>
      <c r="AJ787" s="5"/>
      <c r="AK787" s="5"/>
      <c r="AL787" s="5"/>
      <c r="AM787" s="23"/>
    </row>
    <row r="788" spans="1:39" ht="15" x14ac:dyDescent="0.2">
      <c r="A788" s="11"/>
      <c r="B788" s="11"/>
      <c r="C788" s="5"/>
      <c r="D788" s="5"/>
      <c r="E788" s="5"/>
      <c r="F788" s="5"/>
      <c r="G788" s="204"/>
      <c r="H788" s="177"/>
      <c r="I788" s="204"/>
      <c r="J788" s="205"/>
      <c r="K788" s="179"/>
      <c r="L788" s="204"/>
      <c r="M788" s="177"/>
      <c r="N788" s="204"/>
      <c r="O788" s="205"/>
      <c r="P788" s="179"/>
      <c r="Q788" s="202"/>
      <c r="R788" s="179"/>
      <c r="S788" s="204"/>
      <c r="T788" s="177"/>
      <c r="U788" s="204"/>
      <c r="V788" s="205"/>
      <c r="W788" s="179"/>
      <c r="X788" s="204"/>
      <c r="Y788" s="177"/>
      <c r="Z788" s="204"/>
      <c r="AA788" s="205"/>
      <c r="AB788" s="179"/>
      <c r="AC788" s="202"/>
      <c r="AD788" s="179"/>
      <c r="AE788" s="202"/>
      <c r="AF788" s="5"/>
      <c r="AG788" s="5"/>
      <c r="AH788" s="5"/>
      <c r="AI788" s="5"/>
      <c r="AJ788" s="5"/>
      <c r="AK788" s="5"/>
      <c r="AL788" s="5"/>
      <c r="AM788" s="23"/>
    </row>
    <row r="789" spans="1:39" ht="15" x14ac:dyDescent="0.2">
      <c r="A789" s="11"/>
      <c r="B789" s="11"/>
      <c r="C789" s="5"/>
      <c r="D789" s="5" t="s">
        <v>437</v>
      </c>
      <c r="E789" s="5"/>
      <c r="F789" s="5"/>
      <c r="G789" s="204"/>
      <c r="H789" s="177"/>
      <c r="I789" s="204"/>
      <c r="J789" s="205"/>
      <c r="K789" s="179"/>
      <c r="L789" s="204"/>
      <c r="M789" s="177"/>
      <c r="N789" s="204"/>
      <c r="O789" s="205"/>
      <c r="P789" s="179"/>
      <c r="Q789" s="202"/>
      <c r="R789" s="179"/>
      <c r="S789" s="204"/>
      <c r="T789" s="177"/>
      <c r="U789" s="204"/>
      <c r="V789" s="205"/>
      <c r="W789" s="179"/>
      <c r="X789" s="204"/>
      <c r="Y789" s="177"/>
      <c r="Z789" s="204"/>
      <c r="AA789" s="205"/>
      <c r="AB789" s="179"/>
      <c r="AC789" s="202"/>
      <c r="AD789" s="179"/>
      <c r="AE789" s="202"/>
      <c r="AF789" s="5"/>
      <c r="AG789" s="5"/>
      <c r="AH789" s="5"/>
      <c r="AI789" s="5"/>
      <c r="AJ789" s="5"/>
      <c r="AK789" s="5"/>
      <c r="AL789" s="5"/>
      <c r="AM789" s="23"/>
    </row>
    <row r="790" spans="1:39" ht="15" x14ac:dyDescent="0.2">
      <c r="A790" s="11"/>
      <c r="B790" s="11"/>
      <c r="C790" s="5"/>
      <c r="D790" s="5"/>
      <c r="E790" s="5"/>
      <c r="F790" s="5"/>
      <c r="G790" s="204"/>
      <c r="H790" s="177"/>
      <c r="I790" s="204"/>
      <c r="J790" s="205"/>
      <c r="K790" s="179"/>
      <c r="L790" s="204"/>
      <c r="M790" s="177"/>
      <c r="N790" s="204"/>
      <c r="O790" s="205"/>
      <c r="P790" s="179"/>
      <c r="Q790" s="202"/>
      <c r="R790" s="179"/>
      <c r="S790" s="204"/>
      <c r="T790" s="177"/>
      <c r="U790" s="204"/>
      <c r="V790" s="205"/>
      <c r="W790" s="179"/>
      <c r="X790" s="204"/>
      <c r="Y790" s="177"/>
      <c r="Z790" s="204"/>
      <c r="AA790" s="205"/>
      <c r="AB790" s="179"/>
      <c r="AC790" s="202"/>
      <c r="AD790" s="179"/>
      <c r="AE790" s="202"/>
      <c r="AF790" s="5"/>
      <c r="AG790" s="5"/>
      <c r="AH790" s="5"/>
      <c r="AI790" s="5"/>
      <c r="AJ790" s="5"/>
      <c r="AK790" s="5"/>
      <c r="AL790" s="5"/>
      <c r="AM790" s="23"/>
    </row>
    <row r="791" spans="1:39" ht="15" x14ac:dyDescent="0.2">
      <c r="A791" s="11"/>
      <c r="B791" s="11"/>
      <c r="C791" s="5"/>
      <c r="D791" s="5"/>
      <c r="E791" s="5"/>
      <c r="F791" s="5"/>
      <c r="G791" s="204"/>
      <c r="H791" s="177"/>
      <c r="I791" s="204"/>
      <c r="J791" s="205"/>
      <c r="K791" s="179"/>
      <c r="L791" s="204"/>
      <c r="M791" s="177"/>
      <c r="N791" s="204"/>
      <c r="O791" s="205"/>
      <c r="P791" s="179"/>
      <c r="Q791" s="202"/>
      <c r="R791" s="179"/>
      <c r="S791" s="204"/>
      <c r="T791" s="177"/>
      <c r="U791" s="204"/>
      <c r="V791" s="205"/>
      <c r="W791" s="179"/>
      <c r="X791" s="204"/>
      <c r="Y791" s="177"/>
      <c r="Z791" s="204"/>
      <c r="AA791" s="205"/>
      <c r="AB791" s="179"/>
      <c r="AC791" s="202"/>
      <c r="AD791" s="179"/>
      <c r="AE791" s="202"/>
      <c r="AF791" s="5"/>
      <c r="AG791" s="5"/>
      <c r="AH791" s="5"/>
      <c r="AI791" s="5"/>
      <c r="AJ791" s="5"/>
      <c r="AK791" s="5"/>
      <c r="AL791" s="5"/>
      <c r="AM791" s="23"/>
    </row>
    <row r="792" spans="1:39" ht="15" x14ac:dyDescent="0.2">
      <c r="A792" s="11"/>
      <c r="B792" s="11"/>
      <c r="C792" s="5"/>
      <c r="D792" s="5" t="s">
        <v>440</v>
      </c>
      <c r="E792" s="5"/>
      <c r="F792" s="5"/>
      <c r="G792" s="109"/>
      <c r="H792" s="131"/>
      <c r="I792" s="109"/>
      <c r="J792" s="208"/>
      <c r="K792" s="5"/>
      <c r="L792" s="109"/>
      <c r="M792" s="131"/>
      <c r="N792" s="109"/>
      <c r="O792" s="208"/>
      <c r="P792" s="5"/>
      <c r="Q792" s="128"/>
      <c r="R792" s="5"/>
      <c r="S792" s="109"/>
      <c r="T792" s="131"/>
      <c r="U792" s="109"/>
      <c r="V792" s="208"/>
      <c r="W792" s="5"/>
      <c r="X792" s="109"/>
      <c r="Y792" s="131"/>
      <c r="Z792" s="109"/>
      <c r="AA792" s="208"/>
      <c r="AB792" s="5"/>
      <c r="AC792" s="128"/>
      <c r="AD792" s="5"/>
      <c r="AE792" s="128"/>
      <c r="AF792" s="5"/>
      <c r="AG792" s="5"/>
      <c r="AH792" s="5"/>
      <c r="AI792" s="5"/>
      <c r="AJ792" s="5"/>
      <c r="AK792" s="5"/>
      <c r="AL792" s="5"/>
      <c r="AM792" s="23"/>
    </row>
    <row r="793" spans="1:39" ht="15" x14ac:dyDescent="0.2">
      <c r="A793" s="11"/>
      <c r="B793" s="11"/>
      <c r="C793" s="5"/>
      <c r="D793" s="5"/>
      <c r="E793" s="5"/>
      <c r="F793" s="5"/>
      <c r="G793" s="109"/>
      <c r="H793" s="131"/>
      <c r="I793" s="109"/>
      <c r="J793" s="208"/>
      <c r="K793" s="5"/>
      <c r="L793" s="109"/>
      <c r="M793" s="131"/>
      <c r="N793" s="109"/>
      <c r="O793" s="208"/>
      <c r="P793" s="5"/>
      <c r="Q793" s="128"/>
      <c r="R793" s="5"/>
      <c r="S793" s="109"/>
      <c r="T793" s="131"/>
      <c r="U793" s="109"/>
      <c r="V793" s="208"/>
      <c r="W793" s="5"/>
      <c r="X793" s="109"/>
      <c r="Y793" s="131"/>
      <c r="Z793" s="109"/>
      <c r="AA793" s="208"/>
      <c r="AB793" s="5"/>
      <c r="AC793" s="128"/>
      <c r="AD793" s="5"/>
      <c r="AE793" s="128"/>
      <c r="AF793" s="5"/>
      <c r="AG793" s="5"/>
      <c r="AH793" s="5"/>
      <c r="AI793" s="5"/>
      <c r="AJ793" s="5"/>
      <c r="AK793" s="5"/>
      <c r="AL793" s="5"/>
      <c r="AM793" s="23"/>
    </row>
    <row r="794" spans="1:39" ht="15" x14ac:dyDescent="0.2">
      <c r="A794" s="11"/>
      <c r="B794" s="11"/>
      <c r="C794" s="5"/>
      <c r="D794" s="5"/>
      <c r="E794" s="5"/>
      <c r="F794" s="5"/>
      <c r="G794" s="109"/>
      <c r="H794" s="131"/>
      <c r="I794" s="109"/>
      <c r="J794" s="208"/>
      <c r="K794" s="5"/>
      <c r="L794" s="109"/>
      <c r="M794" s="131"/>
      <c r="N794" s="109"/>
      <c r="O794" s="208"/>
      <c r="P794" s="5"/>
      <c r="Q794" s="128"/>
      <c r="R794" s="5"/>
      <c r="S794" s="109"/>
      <c r="T794" s="131"/>
      <c r="U794" s="109"/>
      <c r="V794" s="208"/>
      <c r="W794" s="5"/>
      <c r="X794" s="109"/>
      <c r="Y794" s="131"/>
      <c r="Z794" s="109"/>
      <c r="AA794" s="208"/>
      <c r="AB794" s="5"/>
      <c r="AC794" s="128"/>
      <c r="AD794" s="5"/>
      <c r="AE794" s="128"/>
      <c r="AF794" s="5"/>
      <c r="AG794" s="5"/>
      <c r="AH794" s="5"/>
      <c r="AI794" s="5"/>
      <c r="AJ794" s="5"/>
      <c r="AK794" s="5"/>
      <c r="AL794" s="5"/>
      <c r="AM794" s="23"/>
    </row>
    <row r="795" spans="1:39" ht="15" x14ac:dyDescent="0.2">
      <c r="A795" s="11"/>
      <c r="B795" s="11"/>
      <c r="C795" s="5"/>
      <c r="D795" s="5" t="s">
        <v>442</v>
      </c>
      <c r="E795" s="5"/>
      <c r="F795" s="5"/>
      <c r="G795" s="109"/>
      <c r="H795" s="131"/>
      <c r="I795" s="109"/>
      <c r="J795" s="208"/>
      <c r="K795" s="5"/>
      <c r="L795" s="109"/>
      <c r="M795" s="131"/>
      <c r="N795" s="109"/>
      <c r="O795" s="208"/>
      <c r="P795" s="5"/>
      <c r="Q795" s="128"/>
      <c r="R795" s="5"/>
      <c r="S795" s="109"/>
      <c r="T795" s="131"/>
      <c r="U795" s="109"/>
      <c r="V795" s="208"/>
      <c r="W795" s="5"/>
      <c r="X795" s="109"/>
      <c r="Y795" s="131"/>
      <c r="Z795" s="109"/>
      <c r="AA795" s="208"/>
      <c r="AB795" s="5"/>
      <c r="AC795" s="128"/>
      <c r="AD795" s="5"/>
      <c r="AE795" s="128"/>
      <c r="AF795" s="5"/>
      <c r="AG795" s="5"/>
      <c r="AH795" s="5"/>
      <c r="AI795" s="5"/>
      <c r="AJ795" s="5"/>
      <c r="AK795" s="5"/>
      <c r="AL795" s="5"/>
      <c r="AM795" s="23"/>
    </row>
    <row r="796" spans="1:39" ht="15" x14ac:dyDescent="0.2">
      <c r="A796" s="11"/>
      <c r="B796" s="11"/>
      <c r="C796" s="5"/>
      <c r="D796" s="5"/>
      <c r="E796" s="5"/>
      <c r="F796" s="5"/>
      <c r="G796" s="109"/>
      <c r="H796" s="131"/>
      <c r="I796" s="109"/>
      <c r="J796" s="208"/>
      <c r="K796" s="5"/>
      <c r="L796" s="109"/>
      <c r="M796" s="131"/>
      <c r="N796" s="109"/>
      <c r="O796" s="208"/>
      <c r="P796" s="5"/>
      <c r="Q796" s="128"/>
      <c r="R796" s="5"/>
      <c r="S796" s="109"/>
      <c r="T796" s="131"/>
      <c r="U796" s="109"/>
      <c r="V796" s="208"/>
      <c r="W796" s="5"/>
      <c r="X796" s="109"/>
      <c r="Y796" s="131"/>
      <c r="Z796" s="109"/>
      <c r="AA796" s="208"/>
      <c r="AB796" s="5"/>
      <c r="AC796" s="128"/>
      <c r="AD796" s="5"/>
      <c r="AE796" s="128"/>
      <c r="AF796" s="5"/>
      <c r="AG796" s="5"/>
      <c r="AH796" s="5"/>
      <c r="AI796" s="5"/>
      <c r="AJ796" s="5"/>
      <c r="AK796" s="5"/>
      <c r="AL796" s="5"/>
      <c r="AM796" s="23"/>
    </row>
    <row r="797" spans="1:39" ht="15" x14ac:dyDescent="0.2">
      <c r="A797" s="11"/>
      <c r="B797" s="11"/>
      <c r="C797" s="5"/>
      <c r="D797" s="5"/>
      <c r="E797" s="5"/>
      <c r="F797" s="5"/>
      <c r="G797" s="109"/>
      <c r="H797" s="131"/>
      <c r="I797" s="109"/>
      <c r="J797" s="208"/>
      <c r="K797" s="5"/>
      <c r="L797" s="109"/>
      <c r="M797" s="131"/>
      <c r="N797" s="109"/>
      <c r="O797" s="208"/>
      <c r="P797" s="5"/>
      <c r="Q797" s="128"/>
      <c r="R797" s="5"/>
      <c r="S797" s="109"/>
      <c r="T797" s="131"/>
      <c r="U797" s="109"/>
      <c r="V797" s="208"/>
      <c r="W797" s="5"/>
      <c r="X797" s="109"/>
      <c r="Y797" s="131"/>
      <c r="Z797" s="109"/>
      <c r="AA797" s="208"/>
      <c r="AB797" s="5"/>
      <c r="AC797" s="128"/>
      <c r="AD797" s="5"/>
      <c r="AE797" s="128"/>
      <c r="AF797" s="5"/>
      <c r="AG797" s="5"/>
      <c r="AH797" s="5"/>
      <c r="AI797" s="5"/>
      <c r="AJ797" s="5"/>
      <c r="AK797" s="5"/>
      <c r="AL797" s="5"/>
      <c r="AM797" s="23"/>
    </row>
    <row r="798" spans="1:39" ht="15" x14ac:dyDescent="0.2">
      <c r="A798" s="11"/>
      <c r="B798" s="11"/>
      <c r="C798" s="5"/>
      <c r="D798" s="5" t="s">
        <v>444</v>
      </c>
      <c r="E798" s="5"/>
      <c r="F798" s="5"/>
      <c r="G798" s="109"/>
      <c r="H798" s="131"/>
      <c r="I798" s="109"/>
      <c r="J798" s="208"/>
      <c r="K798" s="5"/>
      <c r="L798" s="109"/>
      <c r="M798" s="131"/>
      <c r="N798" s="109"/>
      <c r="O798" s="208"/>
      <c r="P798" s="5"/>
      <c r="Q798" s="128"/>
      <c r="R798" s="5"/>
      <c r="S798" s="109"/>
      <c r="T798" s="131"/>
      <c r="U798" s="109"/>
      <c r="V798" s="208"/>
      <c r="W798" s="5"/>
      <c r="X798" s="109"/>
      <c r="Y798" s="131"/>
      <c r="Z798" s="109"/>
      <c r="AA798" s="208"/>
      <c r="AB798" s="5"/>
      <c r="AC798" s="128"/>
      <c r="AD798" s="5"/>
      <c r="AE798" s="128"/>
      <c r="AF798" s="5"/>
      <c r="AG798" s="5"/>
      <c r="AH798" s="5"/>
      <c r="AI798" s="5"/>
      <c r="AJ798" s="5"/>
      <c r="AK798" s="5"/>
      <c r="AL798" s="5"/>
      <c r="AM798" s="23"/>
    </row>
    <row r="799" spans="1:39" ht="15" x14ac:dyDescent="0.2">
      <c r="A799" s="11"/>
      <c r="B799" s="11"/>
      <c r="C799" s="5"/>
      <c r="D799" s="5"/>
      <c r="E799" s="5"/>
      <c r="F799" s="5"/>
      <c r="G799" s="109"/>
      <c r="H799" s="131"/>
      <c r="I799" s="109"/>
      <c r="J799" s="208"/>
      <c r="K799" s="5"/>
      <c r="L799" s="109"/>
      <c r="M799" s="131"/>
      <c r="N799" s="109"/>
      <c r="O799" s="208"/>
      <c r="P799" s="5"/>
      <c r="Q799" s="128"/>
      <c r="R799" s="5"/>
      <c r="S799" s="109"/>
      <c r="T799" s="131"/>
      <c r="U799" s="109"/>
      <c r="V799" s="208"/>
      <c r="W799" s="5"/>
      <c r="X799" s="109"/>
      <c r="Y799" s="131"/>
      <c r="Z799" s="109"/>
      <c r="AA799" s="208"/>
      <c r="AB799" s="5"/>
      <c r="AC799" s="128"/>
      <c r="AD799" s="5"/>
      <c r="AE799" s="128"/>
      <c r="AF799" s="5"/>
      <c r="AG799" s="5"/>
      <c r="AH799" s="5"/>
      <c r="AI799" s="5"/>
      <c r="AJ799" s="5"/>
      <c r="AK799" s="5"/>
      <c r="AL799" s="5"/>
      <c r="AM799" s="23"/>
    </row>
    <row r="800" spans="1:39" ht="15" x14ac:dyDescent="0.2">
      <c r="A800" s="11"/>
      <c r="B800" s="11"/>
      <c r="C800" s="5"/>
      <c r="D800" s="5"/>
      <c r="E800" s="5"/>
      <c r="F800" s="5"/>
      <c r="G800" s="109"/>
      <c r="H800" s="131"/>
      <c r="I800" s="109"/>
      <c r="J800" s="208"/>
      <c r="K800" s="5"/>
      <c r="L800" s="109"/>
      <c r="M800" s="131"/>
      <c r="N800" s="109"/>
      <c r="O800" s="208"/>
      <c r="P800" s="5"/>
      <c r="Q800" s="128"/>
      <c r="R800" s="5"/>
      <c r="S800" s="109"/>
      <c r="T800" s="131"/>
      <c r="U800" s="109"/>
      <c r="V800" s="208"/>
      <c r="W800" s="5"/>
      <c r="X800" s="109"/>
      <c r="Y800" s="131"/>
      <c r="Z800" s="109"/>
      <c r="AA800" s="208"/>
      <c r="AB800" s="5"/>
      <c r="AC800" s="128"/>
      <c r="AD800" s="5"/>
      <c r="AE800" s="128"/>
      <c r="AF800" s="5"/>
      <c r="AG800" s="5"/>
      <c r="AH800" s="5"/>
      <c r="AI800" s="5"/>
      <c r="AJ800" s="5"/>
      <c r="AK800" s="5"/>
      <c r="AL800" s="5"/>
      <c r="AM800" s="23"/>
    </row>
    <row r="801" spans="1:56" x14ac:dyDescent="0.2">
      <c r="A801" s="11"/>
      <c r="B801" s="11"/>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23"/>
    </row>
    <row r="802" spans="1:56" ht="119.25" x14ac:dyDescent="0.2">
      <c r="A802" s="36"/>
      <c r="B802" s="36"/>
      <c r="C802" s="37"/>
      <c r="D802" s="179"/>
      <c r="E802" s="179"/>
      <c r="F802" s="179"/>
      <c r="G802" s="179"/>
      <c r="H802" s="238"/>
      <c r="I802" s="179"/>
      <c r="J802" s="238" t="s">
        <v>456</v>
      </c>
      <c r="K802" s="197"/>
      <c r="L802" s="238"/>
      <c r="M802" s="197"/>
      <c r="N802" s="179"/>
      <c r="O802" s="179"/>
      <c r="P802" s="179"/>
      <c r="Q802" s="238" t="s">
        <v>457</v>
      </c>
      <c r="R802" s="179"/>
      <c r="S802" s="238" t="s">
        <v>458</v>
      </c>
      <c r="T802" s="197"/>
      <c r="U802" s="179"/>
      <c r="V802" s="179"/>
      <c r="W802" s="179"/>
      <c r="X802" s="238" t="s">
        <v>459</v>
      </c>
      <c r="Y802" s="197"/>
      <c r="Z802" s="179"/>
      <c r="AA802" s="179"/>
      <c r="AB802" s="179"/>
      <c r="AC802" s="197"/>
      <c r="AD802" s="179"/>
      <c r="AE802" s="238" t="s">
        <v>460</v>
      </c>
      <c r="AF802" s="179"/>
      <c r="AG802" s="238" t="s">
        <v>461</v>
      </c>
      <c r="AH802" s="179"/>
      <c r="AI802" s="238" t="s">
        <v>462</v>
      </c>
      <c r="AJ802" s="179"/>
      <c r="AK802" s="37"/>
      <c r="AL802" s="37"/>
      <c r="AM802" s="192"/>
      <c r="AO802" s="3"/>
      <c r="AP802" s="3"/>
      <c r="AQ802" s="3"/>
      <c r="AR802" s="3"/>
      <c r="AS802" s="3"/>
      <c r="AT802" s="3"/>
      <c r="AU802" s="3"/>
      <c r="AV802" s="3"/>
      <c r="AW802" s="3"/>
      <c r="AX802" s="3"/>
      <c r="AY802" s="3"/>
      <c r="AZ802" s="3"/>
      <c r="BA802" s="3"/>
      <c r="BB802" s="3"/>
      <c r="BC802" s="3"/>
      <c r="BD802" s="3"/>
    </row>
    <row r="803" spans="1:56" x14ac:dyDescent="0.2">
      <c r="A803" s="36"/>
      <c r="B803" s="36"/>
      <c r="C803" s="37"/>
      <c r="D803" s="179" t="s">
        <v>433</v>
      </c>
      <c r="E803" s="179"/>
      <c r="F803" s="179"/>
      <c r="G803" s="180"/>
      <c r="H803" s="180"/>
      <c r="I803" s="180"/>
      <c r="J803" s="180"/>
      <c r="K803" s="180"/>
      <c r="L803" s="180"/>
      <c r="M803" s="180"/>
      <c r="N803" s="180"/>
      <c r="O803" s="180"/>
      <c r="P803" s="198" t="s">
        <v>143</v>
      </c>
      <c r="Q803" s="202"/>
      <c r="R803" s="179"/>
      <c r="S803" s="204"/>
      <c r="T803" s="238"/>
      <c r="U803" s="180"/>
      <c r="V803" s="180"/>
      <c r="W803" s="180"/>
      <c r="X803" s="180"/>
      <c r="Y803" s="180"/>
      <c r="Z803" s="180"/>
      <c r="AA803" s="180"/>
      <c r="AB803" s="180"/>
      <c r="AC803" s="180"/>
      <c r="AD803" s="198" t="s">
        <v>143</v>
      </c>
      <c r="AE803" s="202"/>
      <c r="AF803" s="179"/>
      <c r="AG803" s="202"/>
      <c r="AH803" s="179"/>
      <c r="AI803" s="202"/>
      <c r="AJ803" s="179"/>
      <c r="AK803" s="37"/>
      <c r="AL803" s="37"/>
      <c r="AM803" s="192"/>
    </row>
    <row r="804" spans="1:56" x14ac:dyDescent="0.2">
      <c r="A804" s="36"/>
      <c r="B804" s="36"/>
      <c r="C804" s="37"/>
      <c r="D804" s="179"/>
      <c r="E804" s="179"/>
      <c r="F804" s="179"/>
      <c r="G804" s="180"/>
      <c r="H804" s="180"/>
      <c r="I804" s="180"/>
      <c r="J804" s="180"/>
      <c r="K804" s="180"/>
      <c r="L804" s="180"/>
      <c r="M804" s="180"/>
      <c r="N804" s="180"/>
      <c r="O804" s="180"/>
      <c r="P804" s="198" t="s">
        <v>143</v>
      </c>
      <c r="Q804" s="202"/>
      <c r="R804" s="179"/>
      <c r="S804" s="204"/>
      <c r="T804" s="238"/>
      <c r="U804" s="180"/>
      <c r="V804" s="180"/>
      <c r="W804" s="180"/>
      <c r="X804" s="180"/>
      <c r="Y804" s="180"/>
      <c r="Z804" s="180"/>
      <c r="AA804" s="180"/>
      <c r="AB804" s="180"/>
      <c r="AC804" s="180"/>
      <c r="AD804" s="198" t="s">
        <v>143</v>
      </c>
      <c r="AE804" s="202"/>
      <c r="AF804" s="179"/>
      <c r="AG804" s="202"/>
      <c r="AH804" s="179"/>
      <c r="AI804" s="202"/>
      <c r="AJ804" s="179"/>
      <c r="AK804" s="37"/>
      <c r="AL804" s="37"/>
      <c r="AM804" s="192"/>
    </row>
    <row r="805" spans="1:56" x14ac:dyDescent="0.2">
      <c r="A805" s="36"/>
      <c r="B805" s="36"/>
      <c r="C805" s="37"/>
      <c r="D805" s="179"/>
      <c r="E805" s="179"/>
      <c r="F805" s="179"/>
      <c r="G805" s="180"/>
      <c r="H805" s="180"/>
      <c r="I805" s="180"/>
      <c r="J805" s="180"/>
      <c r="K805" s="180"/>
      <c r="L805" s="180"/>
      <c r="M805" s="180"/>
      <c r="N805" s="180"/>
      <c r="O805" s="180"/>
      <c r="P805" s="198" t="s">
        <v>143</v>
      </c>
      <c r="Q805" s="202"/>
      <c r="R805" s="179"/>
      <c r="S805" s="204"/>
      <c r="T805" s="238"/>
      <c r="U805" s="180"/>
      <c r="V805" s="180"/>
      <c r="W805" s="180"/>
      <c r="X805" s="180"/>
      <c r="Y805" s="180"/>
      <c r="Z805" s="180"/>
      <c r="AA805" s="180"/>
      <c r="AB805" s="180"/>
      <c r="AC805" s="180"/>
      <c r="AD805" s="198" t="s">
        <v>143</v>
      </c>
      <c r="AE805" s="202"/>
      <c r="AF805" s="179"/>
      <c r="AG805" s="202"/>
      <c r="AH805" s="179"/>
      <c r="AI805" s="202"/>
      <c r="AJ805" s="179"/>
      <c r="AK805" s="37"/>
      <c r="AL805" s="37"/>
      <c r="AM805" s="192"/>
    </row>
    <row r="806" spans="1:56" x14ac:dyDescent="0.2">
      <c r="A806" s="36"/>
      <c r="B806" s="36"/>
      <c r="C806" s="37"/>
      <c r="D806" s="179" t="s">
        <v>437</v>
      </c>
      <c r="E806" s="179"/>
      <c r="F806" s="179"/>
      <c r="G806" s="180"/>
      <c r="H806" s="180"/>
      <c r="I806" s="180"/>
      <c r="J806" s="180"/>
      <c r="K806" s="180"/>
      <c r="L806" s="180"/>
      <c r="M806" s="180"/>
      <c r="N806" s="180"/>
      <c r="O806" s="180"/>
      <c r="P806" s="198" t="s">
        <v>143</v>
      </c>
      <c r="Q806" s="202"/>
      <c r="R806" s="179"/>
      <c r="S806" s="204"/>
      <c r="T806" s="238"/>
      <c r="U806" s="180"/>
      <c r="V806" s="180"/>
      <c r="W806" s="180"/>
      <c r="X806" s="180"/>
      <c r="Y806" s="180"/>
      <c r="Z806" s="180"/>
      <c r="AA806" s="180"/>
      <c r="AB806" s="180"/>
      <c r="AC806" s="180"/>
      <c r="AD806" s="198" t="s">
        <v>143</v>
      </c>
      <c r="AE806" s="202"/>
      <c r="AF806" s="179"/>
      <c r="AG806" s="202"/>
      <c r="AH806" s="179"/>
      <c r="AI806" s="202"/>
      <c r="AJ806" s="179"/>
      <c r="AK806" s="37"/>
      <c r="AL806" s="37"/>
      <c r="AM806" s="192"/>
    </row>
    <row r="807" spans="1:56" x14ac:dyDescent="0.2">
      <c r="A807" s="36"/>
      <c r="B807" s="36"/>
      <c r="C807" s="37"/>
      <c r="D807" s="179"/>
      <c r="E807" s="179"/>
      <c r="F807" s="179"/>
      <c r="G807" s="180"/>
      <c r="H807" s="180"/>
      <c r="I807" s="180"/>
      <c r="J807" s="180"/>
      <c r="K807" s="180"/>
      <c r="L807" s="180"/>
      <c r="M807" s="180"/>
      <c r="N807" s="180"/>
      <c r="O807" s="180"/>
      <c r="P807" s="198" t="s">
        <v>143</v>
      </c>
      <c r="Q807" s="202"/>
      <c r="R807" s="179"/>
      <c r="S807" s="204"/>
      <c r="T807" s="238"/>
      <c r="U807" s="180"/>
      <c r="V807" s="180"/>
      <c r="W807" s="180"/>
      <c r="X807" s="180"/>
      <c r="Y807" s="180"/>
      <c r="Z807" s="180"/>
      <c r="AA807" s="180"/>
      <c r="AB807" s="180"/>
      <c r="AC807" s="180"/>
      <c r="AD807" s="198" t="s">
        <v>143</v>
      </c>
      <c r="AE807" s="202"/>
      <c r="AF807" s="179"/>
      <c r="AG807" s="202"/>
      <c r="AH807" s="179"/>
      <c r="AI807" s="202"/>
      <c r="AJ807" s="179"/>
      <c r="AK807" s="37"/>
      <c r="AL807" s="37"/>
      <c r="AM807" s="192"/>
    </row>
    <row r="808" spans="1:56" x14ac:dyDescent="0.2">
      <c r="A808" s="36"/>
      <c r="B808" s="36"/>
      <c r="C808" s="37"/>
      <c r="D808" s="179"/>
      <c r="E808" s="179"/>
      <c r="F808" s="179"/>
      <c r="G808" s="180"/>
      <c r="H808" s="180"/>
      <c r="I808" s="180"/>
      <c r="J808" s="180"/>
      <c r="K808" s="180"/>
      <c r="L808" s="180"/>
      <c r="M808" s="180"/>
      <c r="N808" s="180"/>
      <c r="O808" s="180"/>
      <c r="P808" s="198" t="s">
        <v>143</v>
      </c>
      <c r="Q808" s="202"/>
      <c r="R808" s="179"/>
      <c r="S808" s="204"/>
      <c r="T808" s="238"/>
      <c r="U808" s="180"/>
      <c r="V808" s="180"/>
      <c r="W808" s="180"/>
      <c r="X808" s="180"/>
      <c r="Y808" s="180"/>
      <c r="Z808" s="180"/>
      <c r="AA808" s="180"/>
      <c r="AB808" s="180"/>
      <c r="AC808" s="180"/>
      <c r="AD808" s="198" t="s">
        <v>143</v>
      </c>
      <c r="AE808" s="202"/>
      <c r="AF808" s="179"/>
      <c r="AG808" s="202"/>
      <c r="AH808" s="179"/>
      <c r="AI808" s="202"/>
      <c r="AJ808" s="179"/>
      <c r="AK808" s="37"/>
      <c r="AL808" s="37"/>
      <c r="AM808" s="192"/>
    </row>
    <row r="809" spans="1:56" x14ac:dyDescent="0.2">
      <c r="A809" s="36"/>
      <c r="B809" s="36"/>
      <c r="C809" s="37"/>
      <c r="D809" s="179" t="s">
        <v>440</v>
      </c>
      <c r="E809" s="179"/>
      <c r="F809" s="179"/>
      <c r="G809" s="180"/>
      <c r="H809" s="180"/>
      <c r="I809" s="180"/>
      <c r="J809" s="180"/>
      <c r="K809" s="180"/>
      <c r="L809" s="180"/>
      <c r="M809" s="180"/>
      <c r="N809" s="180"/>
      <c r="O809" s="180"/>
      <c r="P809" s="198" t="s">
        <v>143</v>
      </c>
      <c r="Q809" s="202"/>
      <c r="R809" s="179"/>
      <c r="S809" s="204"/>
      <c r="T809" s="238"/>
      <c r="U809" s="180"/>
      <c r="V809" s="180"/>
      <c r="W809" s="180"/>
      <c r="X809" s="180"/>
      <c r="Y809" s="180"/>
      <c r="Z809" s="180"/>
      <c r="AA809" s="180"/>
      <c r="AB809" s="180"/>
      <c r="AC809" s="180"/>
      <c r="AD809" s="198" t="s">
        <v>143</v>
      </c>
      <c r="AE809" s="202"/>
      <c r="AF809" s="179"/>
      <c r="AG809" s="202"/>
      <c r="AH809" s="179"/>
      <c r="AI809" s="202"/>
      <c r="AJ809" s="179"/>
      <c r="AK809" s="37"/>
      <c r="AL809" s="37"/>
      <c r="AM809" s="192"/>
    </row>
    <row r="810" spans="1:56" x14ac:dyDescent="0.2">
      <c r="A810" s="36"/>
      <c r="B810" s="36"/>
      <c r="C810" s="37"/>
      <c r="D810" s="179"/>
      <c r="E810" s="179"/>
      <c r="F810" s="179"/>
      <c r="G810" s="180"/>
      <c r="H810" s="180"/>
      <c r="I810" s="180"/>
      <c r="J810" s="180"/>
      <c r="K810" s="180"/>
      <c r="L810" s="180"/>
      <c r="M810" s="180"/>
      <c r="N810" s="180"/>
      <c r="O810" s="180"/>
      <c r="P810" s="198" t="s">
        <v>143</v>
      </c>
      <c r="Q810" s="202"/>
      <c r="R810" s="179"/>
      <c r="S810" s="204"/>
      <c r="T810" s="238"/>
      <c r="U810" s="180"/>
      <c r="V810" s="180"/>
      <c r="W810" s="180"/>
      <c r="X810" s="180"/>
      <c r="Y810" s="180"/>
      <c r="Z810" s="180"/>
      <c r="AA810" s="180"/>
      <c r="AB810" s="180"/>
      <c r="AC810" s="180"/>
      <c r="AD810" s="198" t="s">
        <v>143</v>
      </c>
      <c r="AE810" s="202"/>
      <c r="AF810" s="179"/>
      <c r="AG810" s="202"/>
      <c r="AH810" s="179"/>
      <c r="AI810" s="202"/>
      <c r="AJ810" s="179"/>
      <c r="AK810" s="37"/>
      <c r="AL810" s="37"/>
      <c r="AM810" s="192"/>
    </row>
    <row r="811" spans="1:56" x14ac:dyDescent="0.2">
      <c r="A811" s="36"/>
      <c r="B811" s="36"/>
      <c r="C811" s="37"/>
      <c r="D811" s="179"/>
      <c r="E811" s="179"/>
      <c r="F811" s="179"/>
      <c r="G811" s="180"/>
      <c r="H811" s="180"/>
      <c r="I811" s="180"/>
      <c r="J811" s="180"/>
      <c r="K811" s="180"/>
      <c r="L811" s="180"/>
      <c r="M811" s="180"/>
      <c r="N811" s="180"/>
      <c r="O811" s="180"/>
      <c r="P811" s="198" t="s">
        <v>143</v>
      </c>
      <c r="Q811" s="202"/>
      <c r="R811" s="179"/>
      <c r="S811" s="204"/>
      <c r="T811" s="238"/>
      <c r="U811" s="180"/>
      <c r="V811" s="180"/>
      <c r="W811" s="180"/>
      <c r="X811" s="180"/>
      <c r="Y811" s="180"/>
      <c r="Z811" s="180"/>
      <c r="AA811" s="180"/>
      <c r="AB811" s="180"/>
      <c r="AC811" s="180"/>
      <c r="AD811" s="198" t="s">
        <v>143</v>
      </c>
      <c r="AE811" s="202"/>
      <c r="AF811" s="179"/>
      <c r="AG811" s="202"/>
      <c r="AH811" s="179"/>
      <c r="AI811" s="202"/>
      <c r="AJ811" s="179"/>
      <c r="AK811" s="37"/>
      <c r="AL811" s="37"/>
      <c r="AM811" s="192"/>
    </row>
    <row r="812" spans="1:56" x14ac:dyDescent="0.2">
      <c r="A812" s="36"/>
      <c r="B812" s="36"/>
      <c r="C812" s="37"/>
      <c r="D812" s="179" t="s">
        <v>442</v>
      </c>
      <c r="E812" s="179"/>
      <c r="F812" s="179"/>
      <c r="G812" s="180"/>
      <c r="H812" s="180"/>
      <c r="I812" s="180"/>
      <c r="J812" s="180"/>
      <c r="K812" s="180"/>
      <c r="L812" s="180"/>
      <c r="M812" s="180"/>
      <c r="N812" s="180"/>
      <c r="O812" s="180"/>
      <c r="P812" s="198" t="s">
        <v>143</v>
      </c>
      <c r="Q812" s="202"/>
      <c r="R812" s="179"/>
      <c r="S812" s="204"/>
      <c r="T812" s="238"/>
      <c r="U812" s="180"/>
      <c r="V812" s="180"/>
      <c r="W812" s="180"/>
      <c r="X812" s="180"/>
      <c r="Y812" s="180"/>
      <c r="Z812" s="180"/>
      <c r="AA812" s="180"/>
      <c r="AB812" s="180"/>
      <c r="AC812" s="180"/>
      <c r="AD812" s="198" t="s">
        <v>143</v>
      </c>
      <c r="AE812" s="202"/>
      <c r="AF812" s="179"/>
      <c r="AG812" s="202"/>
      <c r="AH812" s="179"/>
      <c r="AI812" s="202"/>
      <c r="AJ812" s="179"/>
      <c r="AK812" s="37"/>
      <c r="AL812" s="37"/>
      <c r="AM812" s="192"/>
    </row>
    <row r="813" spans="1:56" x14ac:dyDescent="0.2">
      <c r="A813" s="36"/>
      <c r="B813" s="36"/>
      <c r="C813" s="37"/>
      <c r="D813" s="179"/>
      <c r="E813" s="179"/>
      <c r="F813" s="179"/>
      <c r="G813" s="180"/>
      <c r="H813" s="180"/>
      <c r="I813" s="180"/>
      <c r="J813" s="180"/>
      <c r="K813" s="180"/>
      <c r="L813" s="180"/>
      <c r="M813" s="180"/>
      <c r="N813" s="180"/>
      <c r="O813" s="180"/>
      <c r="P813" s="198" t="s">
        <v>143</v>
      </c>
      <c r="Q813" s="202"/>
      <c r="R813" s="179"/>
      <c r="S813" s="204"/>
      <c r="T813" s="238"/>
      <c r="U813" s="180"/>
      <c r="V813" s="180"/>
      <c r="W813" s="180"/>
      <c r="X813" s="180"/>
      <c r="Y813" s="180"/>
      <c r="Z813" s="180"/>
      <c r="AA813" s="180"/>
      <c r="AB813" s="180"/>
      <c r="AC813" s="180"/>
      <c r="AD813" s="198" t="s">
        <v>143</v>
      </c>
      <c r="AE813" s="202"/>
      <c r="AF813" s="179"/>
      <c r="AG813" s="202"/>
      <c r="AH813" s="179"/>
      <c r="AI813" s="202"/>
      <c r="AJ813" s="179"/>
      <c r="AK813" s="37"/>
      <c r="AL813" s="37"/>
      <c r="AM813" s="192"/>
    </row>
    <row r="814" spans="1:56" x14ac:dyDescent="0.2">
      <c r="A814" s="36"/>
      <c r="B814" s="36"/>
      <c r="C814" s="37"/>
      <c r="D814" s="179"/>
      <c r="E814" s="179"/>
      <c r="F814" s="179"/>
      <c r="G814" s="180"/>
      <c r="H814" s="180"/>
      <c r="I814" s="180"/>
      <c r="J814" s="180"/>
      <c r="K814" s="180"/>
      <c r="L814" s="180"/>
      <c r="M814" s="180"/>
      <c r="N814" s="180"/>
      <c r="O814" s="180"/>
      <c r="P814" s="198" t="s">
        <v>143</v>
      </c>
      <c r="Q814" s="202"/>
      <c r="R814" s="179"/>
      <c r="S814" s="204"/>
      <c r="T814" s="238"/>
      <c r="U814" s="180"/>
      <c r="V814" s="180"/>
      <c r="W814" s="180"/>
      <c r="X814" s="180"/>
      <c r="Y814" s="180"/>
      <c r="Z814" s="180"/>
      <c r="AA814" s="180"/>
      <c r="AB814" s="180"/>
      <c r="AC814" s="180"/>
      <c r="AD814" s="198" t="s">
        <v>143</v>
      </c>
      <c r="AE814" s="202"/>
      <c r="AF814" s="179"/>
      <c r="AG814" s="202"/>
      <c r="AH814" s="179"/>
      <c r="AI814" s="202"/>
      <c r="AJ814" s="179"/>
      <c r="AK814" s="37"/>
      <c r="AL814" s="37"/>
      <c r="AM814" s="192"/>
    </row>
    <row r="815" spans="1:56" x14ac:dyDescent="0.2">
      <c r="A815" s="36"/>
      <c r="B815" s="36"/>
      <c r="C815" s="37"/>
      <c r="D815" s="179" t="s">
        <v>444</v>
      </c>
      <c r="E815" s="179"/>
      <c r="F815" s="179"/>
      <c r="G815" s="180"/>
      <c r="H815" s="180"/>
      <c r="I815" s="180"/>
      <c r="J815" s="180"/>
      <c r="K815" s="180"/>
      <c r="L815" s="180"/>
      <c r="M815" s="180"/>
      <c r="N815" s="180"/>
      <c r="O815" s="180"/>
      <c r="P815" s="198" t="s">
        <v>143</v>
      </c>
      <c r="Q815" s="202"/>
      <c r="R815" s="179"/>
      <c r="S815" s="204"/>
      <c r="T815" s="238"/>
      <c r="U815" s="180"/>
      <c r="V815" s="180"/>
      <c r="W815" s="180"/>
      <c r="X815" s="180"/>
      <c r="Y815" s="180"/>
      <c r="Z815" s="180"/>
      <c r="AA815" s="180"/>
      <c r="AB815" s="180"/>
      <c r="AC815" s="180"/>
      <c r="AD815" s="198" t="s">
        <v>143</v>
      </c>
      <c r="AE815" s="202"/>
      <c r="AF815" s="179"/>
      <c r="AG815" s="202"/>
      <c r="AH815" s="179"/>
      <c r="AI815" s="202"/>
      <c r="AJ815" s="179"/>
      <c r="AK815" s="37"/>
      <c r="AL815" s="37"/>
      <c r="AM815" s="192"/>
    </row>
    <row r="816" spans="1:56" x14ac:dyDescent="0.2">
      <c r="A816" s="36"/>
      <c r="B816" s="36"/>
      <c r="C816" s="37"/>
      <c r="D816" s="179"/>
      <c r="E816" s="179"/>
      <c r="F816" s="179"/>
      <c r="G816" s="180"/>
      <c r="H816" s="180"/>
      <c r="I816" s="180"/>
      <c r="J816" s="180"/>
      <c r="K816" s="180"/>
      <c r="L816" s="180"/>
      <c r="M816" s="180"/>
      <c r="N816" s="180"/>
      <c r="O816" s="180"/>
      <c r="P816" s="198" t="s">
        <v>143</v>
      </c>
      <c r="Q816" s="202"/>
      <c r="R816" s="179"/>
      <c r="S816" s="204"/>
      <c r="T816" s="238"/>
      <c r="U816" s="180"/>
      <c r="V816" s="180"/>
      <c r="W816" s="180"/>
      <c r="X816" s="180"/>
      <c r="Y816" s="180"/>
      <c r="Z816" s="180"/>
      <c r="AA816" s="180"/>
      <c r="AB816" s="180"/>
      <c r="AC816" s="180"/>
      <c r="AD816" s="198" t="s">
        <v>143</v>
      </c>
      <c r="AE816" s="202"/>
      <c r="AF816" s="179"/>
      <c r="AG816" s="202"/>
      <c r="AH816" s="179"/>
      <c r="AI816" s="202"/>
      <c r="AJ816" s="179"/>
      <c r="AK816" s="37"/>
      <c r="AL816" s="37"/>
      <c r="AM816" s="192"/>
    </row>
    <row r="817" spans="1:40" x14ac:dyDescent="0.2">
      <c r="A817" s="36"/>
      <c r="B817" s="36"/>
      <c r="C817" s="37"/>
      <c r="D817" s="179"/>
      <c r="E817" s="179"/>
      <c r="F817" s="179"/>
      <c r="G817" s="180"/>
      <c r="H817" s="180"/>
      <c r="I817" s="180"/>
      <c r="J817" s="180"/>
      <c r="K817" s="180"/>
      <c r="L817" s="180"/>
      <c r="M817" s="180"/>
      <c r="N817" s="180"/>
      <c r="O817" s="180"/>
      <c r="P817" s="198" t="s">
        <v>143</v>
      </c>
      <c r="Q817" s="202"/>
      <c r="R817" s="179"/>
      <c r="S817" s="204"/>
      <c r="T817" s="238"/>
      <c r="U817" s="180"/>
      <c r="V817" s="180"/>
      <c r="W817" s="180"/>
      <c r="X817" s="180"/>
      <c r="Y817" s="180"/>
      <c r="Z817" s="180"/>
      <c r="AA817" s="180"/>
      <c r="AB817" s="180"/>
      <c r="AC817" s="180"/>
      <c r="AD817" s="198" t="s">
        <v>143</v>
      </c>
      <c r="AE817" s="202"/>
      <c r="AF817" s="179"/>
      <c r="AG817" s="202"/>
      <c r="AH817" s="179"/>
      <c r="AI817" s="202"/>
      <c r="AJ817" s="179"/>
      <c r="AK817" s="37"/>
      <c r="AL817" s="37"/>
      <c r="AM817" s="192"/>
    </row>
    <row r="818" spans="1:40" x14ac:dyDescent="0.2">
      <c r="A818" s="11"/>
      <c r="B818" s="2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26"/>
    </row>
    <row r="819" spans="1:40" x14ac:dyDescent="0.2">
      <c r="A819" s="11"/>
      <c r="B819" s="16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13"/>
      <c r="AN819" s="37"/>
    </row>
    <row r="820" spans="1:40" x14ac:dyDescent="0.2">
      <c r="A820" s="11"/>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9"/>
    </row>
    <row r="821" spans="1:40" x14ac:dyDescent="0.2">
      <c r="A821" s="11"/>
      <c r="B821" s="11"/>
      <c r="C821" s="122" t="s">
        <v>463</v>
      </c>
      <c r="D821" s="5"/>
      <c r="E821" s="5"/>
      <c r="F821" s="239"/>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23"/>
    </row>
    <row r="822" spans="1:40" x14ac:dyDescent="0.2">
      <c r="A822" s="11"/>
      <c r="B822" s="11"/>
      <c r="C822" s="122"/>
      <c r="D822" s="5"/>
      <c r="E822" s="5"/>
      <c r="F822" s="239"/>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23"/>
    </row>
    <row r="823" spans="1:40" x14ac:dyDescent="0.2">
      <c r="A823" s="11"/>
      <c r="B823" s="11"/>
      <c r="C823" s="13" t="s">
        <v>464</v>
      </c>
      <c r="D823" s="5"/>
      <c r="E823" s="5"/>
      <c r="F823" s="239"/>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23"/>
    </row>
    <row r="824" spans="1:40" x14ac:dyDescent="0.2">
      <c r="A824" s="11"/>
      <c r="B824" s="11"/>
      <c r="C824" s="122"/>
      <c r="D824" s="5"/>
      <c r="E824" s="102" t="s">
        <v>465</v>
      </c>
      <c r="F824" s="239"/>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23"/>
    </row>
    <row r="825" spans="1:40" x14ac:dyDescent="0.2">
      <c r="A825" s="11"/>
      <c r="B825" s="11"/>
      <c r="C825" s="122"/>
      <c r="D825" s="5"/>
      <c r="E825" s="102" t="s">
        <v>466</v>
      </c>
      <c r="F825" s="239"/>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23"/>
    </row>
    <row r="826" spans="1:40" x14ac:dyDescent="0.2">
      <c r="A826" s="11"/>
      <c r="B826" s="11"/>
      <c r="C826" s="122"/>
      <c r="D826" s="5"/>
      <c r="E826" s="5"/>
      <c r="F826" s="239"/>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23"/>
    </row>
    <row r="827" spans="1:40" x14ac:dyDescent="0.2">
      <c r="A827" s="11"/>
      <c r="B827" s="11"/>
      <c r="C827" s="13" t="s">
        <v>467</v>
      </c>
      <c r="D827" s="5"/>
      <c r="E827" s="5"/>
      <c r="F827" s="239"/>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23"/>
    </row>
    <row r="828" spans="1:40" x14ac:dyDescent="0.2">
      <c r="A828" s="11"/>
      <c r="B828" s="11"/>
      <c r="C828" s="13" t="s">
        <v>468</v>
      </c>
      <c r="D828" s="5"/>
      <c r="E828" s="5"/>
      <c r="F828" s="239"/>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23"/>
    </row>
    <row r="829" spans="1:40" x14ac:dyDescent="0.2">
      <c r="A829" s="11"/>
      <c r="B829" s="11"/>
      <c r="C829" s="13"/>
      <c r="D829" s="5"/>
      <c r="E829" s="5"/>
      <c r="F829" s="239"/>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23"/>
    </row>
    <row r="830" spans="1:40" x14ac:dyDescent="0.2">
      <c r="A830" s="11"/>
      <c r="B830" s="11"/>
      <c r="C830" s="5" t="s">
        <v>469</v>
      </c>
      <c r="D830" s="5"/>
      <c r="E830" s="239"/>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23"/>
    </row>
    <row r="831" spans="1:40" x14ac:dyDescent="0.2">
      <c r="A831" s="11"/>
      <c r="B831" s="11"/>
      <c r="C831" s="181" t="s">
        <v>470</v>
      </c>
      <c r="D831" s="27"/>
      <c r="E831" s="157" t="s">
        <v>471</v>
      </c>
      <c r="F831" s="39"/>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23"/>
    </row>
    <row r="832" spans="1:40" x14ac:dyDescent="0.2">
      <c r="A832" s="11"/>
      <c r="B832" s="11"/>
      <c r="C832" s="181"/>
      <c r="D832" s="27" t="s">
        <v>9</v>
      </c>
      <c r="E832" s="240" t="s">
        <v>472</v>
      </c>
      <c r="F832" s="39"/>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23"/>
    </row>
    <row r="833" spans="1:39" x14ac:dyDescent="0.2">
      <c r="A833" s="11"/>
      <c r="B833" s="11"/>
      <c r="C833" s="181"/>
      <c r="D833" s="133" t="str">
        <f>IF(D40&lt;&gt;"","x","")</f>
        <v/>
      </c>
      <c r="E833" s="240" t="s">
        <v>473</v>
      </c>
      <c r="F833" s="39"/>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3"/>
    </row>
    <row r="834" spans="1:39" x14ac:dyDescent="0.2">
      <c r="A834" s="11"/>
      <c r="B834" s="2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26"/>
    </row>
    <row r="835" spans="1:39" x14ac:dyDescent="0.2">
      <c r="A835" s="11"/>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13"/>
    </row>
    <row r="836" spans="1:39" x14ac:dyDescent="0.2">
      <c r="A836" s="11"/>
      <c r="B836" s="241" t="s">
        <v>474</v>
      </c>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9"/>
    </row>
    <row r="837" spans="1:39" x14ac:dyDescent="0.2">
      <c r="A837" s="11"/>
      <c r="B837" s="11"/>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23"/>
    </row>
    <row r="838" spans="1:39" x14ac:dyDescent="0.2">
      <c r="A838" s="11"/>
      <c r="B838" s="11"/>
      <c r="C838" s="21" t="s">
        <v>475</v>
      </c>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23"/>
    </row>
    <row r="839" spans="1:39" x14ac:dyDescent="0.2">
      <c r="A839" s="11"/>
      <c r="B839" s="36"/>
      <c r="C839" s="39" t="s">
        <v>25</v>
      </c>
      <c r="D839" s="27"/>
      <c r="E839" s="39" t="str">
        <f>IF(D839&lt;&gt;"","Please check the ‘+’ icon to the left and provide the necessary information","")</f>
        <v/>
      </c>
      <c r="F839" s="39"/>
      <c r="G839" s="39"/>
      <c r="H839" s="39"/>
      <c r="I839" s="37"/>
      <c r="J839" s="37"/>
      <c r="K839" s="5"/>
      <c r="L839" s="13"/>
      <c r="M839" s="37"/>
      <c r="N839" s="37"/>
      <c r="O839" s="37"/>
      <c r="P839" s="37"/>
      <c r="Q839" s="37"/>
      <c r="R839" s="37"/>
      <c r="S839" s="37"/>
      <c r="T839" s="37"/>
      <c r="U839" s="37"/>
      <c r="V839" s="48"/>
      <c r="W839" s="37"/>
      <c r="X839" s="37"/>
      <c r="Y839" s="37"/>
      <c r="Z839" s="37"/>
      <c r="AA839" s="37"/>
      <c r="AB839" s="37"/>
      <c r="AC839" s="37"/>
      <c r="AD839" s="37"/>
      <c r="AE839" s="5"/>
      <c r="AF839" s="5"/>
      <c r="AG839" s="5"/>
      <c r="AH839" s="5"/>
      <c r="AI839" s="5"/>
      <c r="AJ839" s="5"/>
      <c r="AK839" s="5"/>
      <c r="AL839" s="5"/>
      <c r="AM839" s="23"/>
    </row>
    <row r="840" spans="1:39" x14ac:dyDescent="0.2">
      <c r="A840" s="11"/>
      <c r="B840" s="36"/>
      <c r="C840" s="39" t="s">
        <v>27</v>
      </c>
      <c r="D840" s="28" t="s">
        <v>9</v>
      </c>
      <c r="E840" s="41"/>
      <c r="F840" s="49"/>
      <c r="G840" s="49"/>
      <c r="H840" s="49"/>
      <c r="I840" s="37"/>
      <c r="J840" s="37"/>
      <c r="K840" s="5"/>
      <c r="L840" s="13"/>
      <c r="M840" s="37"/>
      <c r="N840" s="37"/>
      <c r="O840" s="37"/>
      <c r="P840" s="37"/>
      <c r="Q840" s="37"/>
      <c r="R840" s="37"/>
      <c r="S840" s="37"/>
      <c r="T840" s="37"/>
      <c r="U840" s="37"/>
      <c r="V840" s="37"/>
      <c r="W840" s="37"/>
      <c r="X840" s="37"/>
      <c r="Y840" s="37"/>
      <c r="Z840" s="37"/>
      <c r="AA840" s="37"/>
      <c r="AB840" s="37"/>
      <c r="AC840" s="37"/>
      <c r="AD840" s="37"/>
      <c r="AE840" s="5"/>
      <c r="AF840" s="5"/>
      <c r="AG840" s="5"/>
      <c r="AH840" s="5"/>
      <c r="AI840" s="5"/>
      <c r="AJ840" s="5"/>
      <c r="AK840" s="5"/>
      <c r="AL840" s="5"/>
      <c r="AM840" s="23"/>
    </row>
    <row r="841" spans="1:39" x14ac:dyDescent="0.2">
      <c r="A841" s="11"/>
      <c r="B841" s="11"/>
      <c r="C841" s="21"/>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23"/>
    </row>
    <row r="842" spans="1:39" x14ac:dyDescent="0.2">
      <c r="A842" s="11"/>
      <c r="B842" s="11"/>
      <c r="C842" s="29" t="s">
        <v>15</v>
      </c>
      <c r="D842" s="5" t="s">
        <v>476</v>
      </c>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23"/>
    </row>
    <row r="843" spans="1:39" x14ac:dyDescent="0.2">
      <c r="A843" s="11"/>
      <c r="B843" s="11"/>
      <c r="C843" s="5"/>
      <c r="D843" s="27"/>
      <c r="E843" s="5" t="s">
        <v>25</v>
      </c>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23"/>
    </row>
    <row r="844" spans="1:39" x14ac:dyDescent="0.2">
      <c r="A844" s="11"/>
      <c r="B844" s="11"/>
      <c r="C844" s="5"/>
      <c r="D844" s="31"/>
      <c r="E844" s="5" t="s">
        <v>477</v>
      </c>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23"/>
    </row>
    <row r="845" spans="1:39" x14ac:dyDescent="0.2">
      <c r="A845" s="11"/>
      <c r="B845" s="11"/>
      <c r="C845" s="5"/>
      <c r="D845" s="31"/>
      <c r="E845" s="29" t="s">
        <v>15</v>
      </c>
      <c r="F845" s="27"/>
      <c r="G845" s="5" t="s">
        <v>478</v>
      </c>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23"/>
    </row>
    <row r="846" spans="1:39" x14ac:dyDescent="0.2">
      <c r="A846" s="11"/>
      <c r="B846" s="11"/>
      <c r="C846" s="5"/>
      <c r="D846" s="31"/>
      <c r="E846" s="31"/>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23"/>
    </row>
    <row r="847" spans="1:39" x14ac:dyDescent="0.2">
      <c r="A847" s="11"/>
      <c r="B847" s="11"/>
      <c r="C847" s="5"/>
      <c r="D847" s="31"/>
      <c r="E847" s="29" t="s">
        <v>15</v>
      </c>
      <c r="F847" s="27"/>
      <c r="G847" s="5" t="s">
        <v>479</v>
      </c>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23"/>
    </row>
    <row r="848" spans="1:39" x14ac:dyDescent="0.2">
      <c r="A848" s="11"/>
      <c r="B848" s="11"/>
      <c r="C848" s="5"/>
      <c r="D848" s="31"/>
      <c r="E848" s="5"/>
      <c r="F848" s="31"/>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23"/>
    </row>
    <row r="849" spans="1:39" x14ac:dyDescent="0.2">
      <c r="A849" s="11"/>
      <c r="B849" s="11"/>
      <c r="C849" s="5"/>
      <c r="D849" s="5"/>
      <c r="E849" s="5"/>
      <c r="F849" s="5"/>
      <c r="G849" s="5"/>
      <c r="H849" s="5" t="s">
        <v>480</v>
      </c>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23"/>
    </row>
    <row r="850" spans="1:39" ht="15" x14ac:dyDescent="0.2">
      <c r="A850" s="11"/>
      <c r="B850" s="11"/>
      <c r="C850" s="5"/>
      <c r="D850" s="5"/>
      <c r="E850" s="29"/>
      <c r="F850" s="5"/>
      <c r="G850" s="5"/>
      <c r="H850" s="5" t="s">
        <v>385</v>
      </c>
      <c r="I850" s="5"/>
      <c r="J850" s="109"/>
      <c r="K850" s="131"/>
      <c r="L850" s="109"/>
      <c r="M850" s="208"/>
      <c r="N850" s="5"/>
      <c r="O850" s="5" t="s">
        <v>139</v>
      </c>
      <c r="P850" s="5"/>
      <c r="Q850" s="109"/>
      <c r="R850" s="131"/>
      <c r="S850" s="109"/>
      <c r="T850" s="208"/>
      <c r="U850" s="5"/>
      <c r="V850" s="5"/>
      <c r="W850" s="5"/>
      <c r="X850" s="5"/>
      <c r="Y850" s="5"/>
      <c r="Z850" s="5"/>
      <c r="AA850" s="5"/>
      <c r="AB850" s="5"/>
      <c r="AC850" s="5"/>
      <c r="AD850" s="5"/>
      <c r="AE850" s="5"/>
      <c r="AF850" s="5"/>
      <c r="AG850" s="5"/>
      <c r="AH850" s="5"/>
      <c r="AI850" s="5"/>
      <c r="AJ850" s="5"/>
      <c r="AK850" s="5"/>
      <c r="AL850" s="5"/>
      <c r="AM850" s="23"/>
    </row>
    <row r="851" spans="1:39" x14ac:dyDescent="0.2">
      <c r="A851" s="11"/>
      <c r="B851" s="11"/>
      <c r="C851" s="5"/>
      <c r="D851" s="5"/>
      <c r="E851" s="29"/>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23"/>
    </row>
    <row r="852" spans="1:39" ht="15" x14ac:dyDescent="0.2">
      <c r="A852" s="11"/>
      <c r="B852" s="11"/>
      <c r="C852" s="5"/>
      <c r="D852" s="5"/>
      <c r="E852" s="29"/>
      <c r="F852" s="5"/>
      <c r="G852" s="5"/>
      <c r="H852" s="5" t="s">
        <v>385</v>
      </c>
      <c r="I852" s="5"/>
      <c r="J852" s="109"/>
      <c r="K852" s="131"/>
      <c r="L852" s="109"/>
      <c r="M852" s="208"/>
      <c r="N852" s="5"/>
      <c r="O852" s="5" t="s">
        <v>139</v>
      </c>
      <c r="P852" s="5"/>
      <c r="Q852" s="109"/>
      <c r="R852" s="131"/>
      <c r="S852" s="109"/>
      <c r="T852" s="208"/>
      <c r="U852" s="5"/>
      <c r="V852" s="5"/>
      <c r="W852" s="5"/>
      <c r="X852" s="5"/>
      <c r="Y852" s="5"/>
      <c r="Z852" s="5"/>
      <c r="AA852" s="5"/>
      <c r="AB852" s="5"/>
      <c r="AC852" s="5"/>
      <c r="AD852" s="5"/>
      <c r="AE852" s="5"/>
      <c r="AF852" s="5"/>
      <c r="AG852" s="5"/>
      <c r="AH852" s="5"/>
      <c r="AI852" s="5"/>
      <c r="AJ852" s="5"/>
      <c r="AK852" s="5"/>
      <c r="AL852" s="5"/>
      <c r="AM852" s="23"/>
    </row>
    <row r="853" spans="1:39" x14ac:dyDescent="0.2">
      <c r="A853" s="11"/>
      <c r="B853" s="11"/>
      <c r="C853" s="5"/>
      <c r="D853" s="5"/>
      <c r="E853" s="29"/>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23"/>
    </row>
    <row r="854" spans="1:39" ht="15" x14ac:dyDescent="0.2">
      <c r="A854" s="11"/>
      <c r="B854" s="11"/>
      <c r="C854" s="5"/>
      <c r="D854" s="5"/>
      <c r="E854" s="29"/>
      <c r="F854" s="5"/>
      <c r="G854" s="5"/>
      <c r="H854" s="5" t="s">
        <v>385</v>
      </c>
      <c r="I854" s="5"/>
      <c r="J854" s="109"/>
      <c r="K854" s="131"/>
      <c r="L854" s="109"/>
      <c r="M854" s="208"/>
      <c r="N854" s="5"/>
      <c r="O854" s="5" t="s">
        <v>139</v>
      </c>
      <c r="P854" s="5"/>
      <c r="Q854" s="109"/>
      <c r="R854" s="131"/>
      <c r="S854" s="109"/>
      <c r="T854" s="208"/>
      <c r="U854" s="5"/>
      <c r="V854" s="5"/>
      <c r="W854" s="5"/>
      <c r="X854" s="5"/>
      <c r="Y854" s="5"/>
      <c r="Z854" s="5"/>
      <c r="AA854" s="5"/>
      <c r="AB854" s="5"/>
      <c r="AC854" s="5"/>
      <c r="AD854" s="5"/>
      <c r="AE854" s="5"/>
      <c r="AF854" s="5"/>
      <c r="AG854" s="5"/>
      <c r="AH854" s="5"/>
      <c r="AI854" s="5"/>
      <c r="AJ854" s="5"/>
      <c r="AK854" s="5"/>
      <c r="AL854" s="5"/>
      <c r="AM854" s="23"/>
    </row>
    <row r="855" spans="1:39" x14ac:dyDescent="0.2">
      <c r="A855" s="11"/>
      <c r="B855" s="11"/>
      <c r="C855" s="5"/>
      <c r="D855" s="5"/>
      <c r="E855" s="29"/>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23"/>
    </row>
    <row r="856" spans="1:39" ht="15" x14ac:dyDescent="0.2">
      <c r="A856" s="11"/>
      <c r="B856" s="11"/>
      <c r="C856" s="5"/>
      <c r="D856" s="5"/>
      <c r="E856" s="29"/>
      <c r="F856" s="5"/>
      <c r="G856" s="5"/>
      <c r="H856" s="5" t="s">
        <v>385</v>
      </c>
      <c r="I856" s="5"/>
      <c r="J856" s="109"/>
      <c r="K856" s="131"/>
      <c r="L856" s="109"/>
      <c r="M856" s="208"/>
      <c r="N856" s="5"/>
      <c r="O856" s="5" t="s">
        <v>139</v>
      </c>
      <c r="P856" s="5"/>
      <c r="Q856" s="109"/>
      <c r="R856" s="131"/>
      <c r="S856" s="109"/>
      <c r="T856" s="208"/>
      <c r="U856" s="5"/>
      <c r="V856" s="5"/>
      <c r="W856" s="5"/>
      <c r="X856" s="5"/>
      <c r="Y856" s="5"/>
      <c r="Z856" s="5"/>
      <c r="AA856" s="5"/>
      <c r="AB856" s="5"/>
      <c r="AC856" s="5"/>
      <c r="AD856" s="5"/>
      <c r="AE856" s="5"/>
      <c r="AF856" s="5"/>
      <c r="AG856" s="5"/>
      <c r="AH856" s="5"/>
      <c r="AI856" s="5"/>
      <c r="AJ856" s="5"/>
      <c r="AK856" s="5"/>
      <c r="AL856" s="5"/>
      <c r="AM856" s="23"/>
    </row>
    <row r="857" spans="1:39" x14ac:dyDescent="0.2">
      <c r="A857" s="11"/>
      <c r="B857" s="11"/>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3"/>
    </row>
    <row r="858" spans="1:39" x14ac:dyDescent="0.2">
      <c r="A858" s="11"/>
      <c r="B858" s="11"/>
      <c r="C858" s="29" t="s">
        <v>15</v>
      </c>
      <c r="D858" s="27" t="s">
        <v>9</v>
      </c>
      <c r="E858" s="5" t="s">
        <v>27</v>
      </c>
      <c r="F858" s="5" t="s">
        <v>135</v>
      </c>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23"/>
    </row>
    <row r="859" spans="1:39" x14ac:dyDescent="0.2">
      <c r="A859" s="11"/>
      <c r="B859" s="11"/>
      <c r="C859" s="5"/>
      <c r="D859" s="37"/>
      <c r="E859" s="29" t="s">
        <v>15</v>
      </c>
      <c r="F859" s="5" t="s">
        <v>481</v>
      </c>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23"/>
    </row>
    <row r="860" spans="1:39" x14ac:dyDescent="0.2">
      <c r="A860" s="11"/>
      <c r="B860" s="11"/>
      <c r="C860" s="5"/>
      <c r="D860" s="37"/>
      <c r="E860" s="190"/>
      <c r="F860" s="27"/>
      <c r="G860" s="5" t="s">
        <v>25</v>
      </c>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23"/>
    </row>
    <row r="861" spans="1:39" x14ac:dyDescent="0.2">
      <c r="A861" s="11"/>
      <c r="B861" s="11"/>
      <c r="C861" s="5"/>
      <c r="D861" s="37"/>
      <c r="E861" s="5"/>
      <c r="F861" s="27" t="s">
        <v>9</v>
      </c>
      <c r="G861" s="5" t="s">
        <v>27</v>
      </c>
      <c r="H861" s="5" t="s">
        <v>135</v>
      </c>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23"/>
    </row>
    <row r="862" spans="1:39" x14ac:dyDescent="0.2">
      <c r="A862" s="11"/>
      <c r="B862" s="2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26"/>
    </row>
    <row r="863" spans="1:39" x14ac:dyDescent="0.2">
      <c r="A863" s="11"/>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13"/>
    </row>
    <row r="864" spans="1:39" x14ac:dyDescent="0.2">
      <c r="A864" s="11"/>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9"/>
    </row>
    <row r="865" spans="1:39" x14ac:dyDescent="0.2">
      <c r="A865" s="11"/>
      <c r="B865" s="11"/>
      <c r="C865" s="21" t="s">
        <v>482</v>
      </c>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M865" s="23"/>
    </row>
    <row r="866" spans="1:39" x14ac:dyDescent="0.2">
      <c r="A866" s="11"/>
      <c r="B866" s="36"/>
      <c r="C866" s="38" t="s">
        <v>25</v>
      </c>
      <c r="D866" s="27"/>
      <c r="E866" s="39" t="str">
        <f>IF(D866&lt;&gt;"","Please check the ‘+’ icon to the left and provide the necessary information","")</f>
        <v/>
      </c>
      <c r="F866" s="39"/>
      <c r="G866" s="39"/>
      <c r="H866" s="39"/>
      <c r="I866" s="37"/>
      <c r="J866" s="37"/>
      <c r="L866" s="13"/>
      <c r="M866" s="37"/>
      <c r="N866" s="37"/>
      <c r="O866" s="37"/>
      <c r="P866" s="37"/>
      <c r="Q866" s="37"/>
      <c r="R866" s="37"/>
      <c r="S866" s="37"/>
      <c r="T866" s="37"/>
      <c r="U866" s="37"/>
      <c r="V866" s="40"/>
      <c r="W866" s="37"/>
      <c r="X866" s="37"/>
      <c r="Y866" s="37"/>
      <c r="Z866" s="37"/>
      <c r="AA866" s="37"/>
      <c r="AB866" s="37"/>
      <c r="AC866" s="37"/>
      <c r="AD866" s="37"/>
      <c r="AE866" s="5"/>
      <c r="AF866" s="5"/>
      <c r="AM866" s="23"/>
    </row>
    <row r="867" spans="1:39" x14ac:dyDescent="0.2">
      <c r="A867" s="11"/>
      <c r="B867" s="36"/>
      <c r="C867" s="38" t="s">
        <v>27</v>
      </c>
      <c r="D867" s="28" t="s">
        <v>9</v>
      </c>
      <c r="E867" s="41"/>
      <c r="F867" s="42"/>
      <c r="G867" s="42"/>
      <c r="H867" s="42"/>
      <c r="I867" s="37"/>
      <c r="J867" s="37"/>
      <c r="L867" s="13"/>
      <c r="M867" s="37"/>
      <c r="N867" s="37"/>
      <c r="O867" s="37"/>
      <c r="P867" s="37"/>
      <c r="Q867" s="37"/>
      <c r="R867" s="37"/>
      <c r="S867" s="37"/>
      <c r="T867" s="37"/>
      <c r="U867" s="37"/>
      <c r="V867" s="37"/>
      <c r="W867" s="37"/>
      <c r="X867" s="37"/>
      <c r="Y867" s="37"/>
      <c r="Z867" s="37"/>
      <c r="AA867" s="37"/>
      <c r="AB867" s="37"/>
      <c r="AC867" s="37"/>
      <c r="AD867" s="37"/>
      <c r="AE867" s="5"/>
      <c r="AF867" s="5"/>
      <c r="AM867" s="23"/>
    </row>
    <row r="868" spans="1:39" x14ac:dyDescent="0.2">
      <c r="A868" s="11"/>
      <c r="B868" s="11"/>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M868" s="23"/>
    </row>
    <row r="869" spans="1:39" x14ac:dyDescent="0.2">
      <c r="A869" s="11"/>
      <c r="B869" s="11"/>
      <c r="C869" s="29" t="s">
        <v>15</v>
      </c>
      <c r="D869" s="5" t="s">
        <v>483</v>
      </c>
      <c r="E869" s="5"/>
      <c r="F869" s="5"/>
      <c r="G869" s="5"/>
      <c r="H869" s="5"/>
      <c r="I869" s="5"/>
      <c r="J869" s="27" t="s">
        <v>9</v>
      </c>
      <c r="K869" s="5" t="s">
        <v>484</v>
      </c>
      <c r="L869" s="5"/>
      <c r="M869" s="5"/>
      <c r="N869" s="5"/>
      <c r="O869" s="5"/>
      <c r="P869" s="5"/>
      <c r="R869" s="5"/>
      <c r="S869" s="5"/>
      <c r="W869" s="5" t="s">
        <v>68</v>
      </c>
      <c r="X869" s="5"/>
      <c r="Y869" s="5"/>
      <c r="Z869" s="5"/>
      <c r="AA869" s="5"/>
      <c r="AB869" s="5"/>
      <c r="AC869" s="5"/>
      <c r="AD869" s="5"/>
      <c r="AE869" s="5"/>
      <c r="AF869" s="5"/>
      <c r="AG869" s="5"/>
      <c r="AH869" s="5"/>
      <c r="AI869" s="5"/>
      <c r="AJ869" s="5"/>
      <c r="AM869" s="23"/>
    </row>
    <row r="870" spans="1:39" x14ac:dyDescent="0.2">
      <c r="A870" s="11"/>
      <c r="B870" s="11"/>
      <c r="C870" s="5"/>
      <c r="D870" s="5"/>
      <c r="E870" s="5"/>
      <c r="F870" s="5"/>
      <c r="G870" s="5"/>
      <c r="H870" s="5"/>
      <c r="I870" s="5"/>
      <c r="J870" s="28"/>
      <c r="K870" s="5" t="s">
        <v>485</v>
      </c>
      <c r="L870" s="5"/>
      <c r="M870" s="5"/>
      <c r="N870" s="37"/>
      <c r="O870" s="37"/>
      <c r="P870" s="37"/>
      <c r="Q870" s="37"/>
      <c r="R870" s="37"/>
      <c r="S870" s="37"/>
      <c r="T870" s="37"/>
      <c r="U870" s="37"/>
      <c r="V870" s="37"/>
      <c r="W870" s="37"/>
      <c r="X870" s="37"/>
      <c r="Y870" s="37"/>
      <c r="Z870" s="37"/>
      <c r="AA870" s="37"/>
      <c r="AB870" s="37"/>
      <c r="AC870" s="37"/>
      <c r="AD870" s="37"/>
      <c r="AE870" s="5"/>
      <c r="AF870" s="5"/>
      <c r="AG870" s="5"/>
      <c r="AH870" s="5"/>
      <c r="AI870" s="5"/>
      <c r="AJ870" s="5"/>
      <c r="AM870" s="23"/>
    </row>
    <row r="871" spans="1:39" x14ac:dyDescent="0.2">
      <c r="A871" s="11"/>
      <c r="B871" s="11"/>
      <c r="C871" s="5"/>
      <c r="D871" s="5"/>
      <c r="E871" s="5"/>
      <c r="F871" s="5"/>
      <c r="G871" s="5"/>
      <c r="H871" s="5"/>
      <c r="I871" s="5"/>
      <c r="J871" s="31"/>
      <c r="K871" s="29" t="s">
        <v>15</v>
      </c>
      <c r="L871" s="5" t="s">
        <v>486</v>
      </c>
      <c r="M871" s="5"/>
      <c r="N871" s="5"/>
      <c r="O871" s="5"/>
      <c r="P871" s="37"/>
      <c r="Q871" s="37"/>
      <c r="R871" s="242"/>
      <c r="S871" s="242"/>
      <c r="T871" s="242"/>
      <c r="U871" s="242"/>
      <c r="V871" s="5"/>
      <c r="W871" s="5"/>
      <c r="X871" s="5"/>
      <c r="Y871" s="37"/>
      <c r="Z871" s="37"/>
      <c r="AA871" s="37"/>
      <c r="AB871" s="37"/>
      <c r="AC871" s="37"/>
      <c r="AD871" s="37"/>
      <c r="AE871" s="5"/>
      <c r="AF871" s="5"/>
      <c r="AG871" s="5"/>
      <c r="AH871" s="5"/>
      <c r="AI871" s="5"/>
      <c r="AJ871" s="5"/>
      <c r="AM871" s="23"/>
    </row>
    <row r="872" spans="1:39" x14ac:dyDescent="0.2">
      <c r="A872" s="11"/>
      <c r="B872" s="11"/>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M872" s="23"/>
    </row>
    <row r="873" spans="1:39" x14ac:dyDescent="0.2">
      <c r="A873" s="11"/>
      <c r="B873" s="11"/>
      <c r="C873" s="5"/>
      <c r="D873" s="5" t="s">
        <v>487</v>
      </c>
      <c r="E873" s="5"/>
      <c r="F873" s="5"/>
      <c r="G873" s="5"/>
      <c r="H873" s="5"/>
      <c r="I873" s="5"/>
      <c r="J873" s="242"/>
      <c r="K873" s="242"/>
      <c r="L873" s="242"/>
      <c r="M873" s="242"/>
      <c r="W873" s="5"/>
      <c r="X873" s="5"/>
      <c r="Y873" s="5"/>
      <c r="Z873" s="5"/>
      <c r="AA873" s="5"/>
      <c r="AB873" s="5"/>
      <c r="AC873" s="5"/>
      <c r="AD873" s="5"/>
      <c r="AE873" s="5"/>
      <c r="AF873" s="5"/>
      <c r="AG873" s="5"/>
      <c r="AH873" s="5"/>
      <c r="AI873" s="5"/>
      <c r="AJ873" s="5"/>
      <c r="AM873" s="23"/>
    </row>
    <row r="874" spans="1:39" x14ac:dyDescent="0.2">
      <c r="A874" s="11"/>
      <c r="B874" s="11"/>
      <c r="C874" s="5"/>
      <c r="D874" s="5"/>
      <c r="E874" s="5"/>
      <c r="F874" s="5"/>
      <c r="G874" s="5"/>
      <c r="H874" s="5"/>
      <c r="I874" s="5"/>
      <c r="W874" s="5"/>
      <c r="X874" s="5"/>
      <c r="Y874" s="5"/>
      <c r="Z874" s="5"/>
      <c r="AA874" s="5"/>
      <c r="AB874" s="5"/>
      <c r="AC874" s="5"/>
      <c r="AD874" s="5"/>
      <c r="AE874" s="5"/>
      <c r="AF874" s="5"/>
      <c r="AG874" s="5"/>
      <c r="AH874" s="5"/>
      <c r="AI874" s="5"/>
      <c r="AJ874" s="5"/>
      <c r="AM874" s="23"/>
    </row>
    <row r="875" spans="1:39" x14ac:dyDescent="0.2">
      <c r="A875" s="11"/>
      <c r="B875" s="11"/>
      <c r="C875" s="5"/>
      <c r="D875" s="5" t="s">
        <v>488</v>
      </c>
      <c r="E875" s="5"/>
      <c r="F875" s="5"/>
      <c r="G875" s="5"/>
      <c r="H875" s="5"/>
      <c r="I875" s="5"/>
      <c r="J875" s="27"/>
      <c r="K875" s="5"/>
      <c r="L875" s="27"/>
      <c r="M875" s="5"/>
      <c r="N875" s="27"/>
      <c r="O875" s="5"/>
      <c r="P875" s="27"/>
      <c r="Q875" s="5"/>
      <c r="R875" s="27"/>
      <c r="S875" s="5"/>
      <c r="T875" s="27"/>
      <c r="U875" s="5"/>
      <c r="V875" s="27"/>
      <c r="Y875" s="5"/>
      <c r="Z875" s="5"/>
      <c r="AA875" s="5"/>
      <c r="AB875" s="5"/>
      <c r="AC875" s="5"/>
      <c r="AD875" s="5"/>
      <c r="AE875" s="5"/>
      <c r="AF875" s="5"/>
      <c r="AG875" s="5"/>
      <c r="AH875" s="5"/>
      <c r="AI875" s="5"/>
      <c r="AJ875" s="5"/>
      <c r="AM875" s="23"/>
    </row>
    <row r="876" spans="1:39" x14ac:dyDescent="0.2">
      <c r="A876" s="11"/>
      <c r="B876" s="11"/>
      <c r="C876" s="5"/>
      <c r="D876" s="5"/>
      <c r="E876" s="5"/>
      <c r="F876" s="5"/>
      <c r="G876" s="5"/>
      <c r="H876" s="5"/>
      <c r="I876" s="5"/>
      <c r="J876" s="5" t="s">
        <v>489</v>
      </c>
      <c r="K876" s="5"/>
      <c r="L876" s="5" t="s">
        <v>490</v>
      </c>
      <c r="M876" s="5"/>
      <c r="N876" s="5" t="s">
        <v>491</v>
      </c>
      <c r="O876" s="5"/>
      <c r="P876" s="5" t="s">
        <v>492</v>
      </c>
      <c r="Q876" s="5"/>
      <c r="R876" s="5" t="s">
        <v>493</v>
      </c>
      <c r="S876" s="5"/>
      <c r="T876" s="5" t="s">
        <v>494</v>
      </c>
      <c r="U876" s="5"/>
      <c r="V876" s="5" t="s">
        <v>111</v>
      </c>
      <c r="Y876" s="5"/>
      <c r="Z876" s="5"/>
      <c r="AA876" s="5"/>
      <c r="AB876" s="5"/>
      <c r="AC876" s="5"/>
      <c r="AD876" s="5"/>
      <c r="AE876" s="5"/>
      <c r="AF876" s="5"/>
      <c r="AG876" s="5"/>
      <c r="AH876" s="5"/>
      <c r="AI876" s="5"/>
      <c r="AJ876" s="5"/>
      <c r="AM876" s="23"/>
    </row>
    <row r="877" spans="1:39" x14ac:dyDescent="0.2">
      <c r="A877" s="11"/>
      <c r="B877" s="11"/>
      <c r="C877" s="5"/>
      <c r="D877" s="5"/>
      <c r="E877" s="5"/>
      <c r="F877" s="5"/>
      <c r="G877" s="5"/>
      <c r="H877" s="5"/>
      <c r="I877" s="5"/>
      <c r="J877" s="5"/>
      <c r="K877" s="5"/>
      <c r="L877" s="5"/>
      <c r="M877" s="5"/>
      <c r="N877" s="5"/>
      <c r="O877" s="5"/>
      <c r="P877" s="5"/>
      <c r="Q877" s="5"/>
      <c r="R877" s="5"/>
      <c r="S877" s="5"/>
      <c r="T877" s="5"/>
      <c r="U877" s="5"/>
      <c r="V877" s="5"/>
      <c r="Y877" s="5"/>
      <c r="Z877" s="5"/>
      <c r="AA877" s="5"/>
      <c r="AB877" s="5"/>
      <c r="AC877" s="5"/>
      <c r="AD877" s="5"/>
      <c r="AE877" s="5"/>
      <c r="AF877" s="5"/>
      <c r="AG877" s="5"/>
      <c r="AH877" s="5"/>
      <c r="AI877" s="5"/>
      <c r="AJ877" s="5"/>
      <c r="AM877" s="23"/>
    </row>
    <row r="878" spans="1:39" x14ac:dyDescent="0.2">
      <c r="A878" s="11"/>
      <c r="B878" s="11"/>
      <c r="C878" s="5"/>
      <c r="D878" s="5"/>
      <c r="E878" s="5"/>
      <c r="F878" s="5"/>
      <c r="G878" s="5"/>
      <c r="H878" s="5"/>
      <c r="I878" s="5"/>
      <c r="J878" s="27"/>
      <c r="K878" s="5"/>
      <c r="L878" s="27"/>
      <c r="M878" s="5"/>
      <c r="N878" s="27"/>
      <c r="O878" s="5"/>
      <c r="P878" s="27"/>
      <c r="Q878" s="5"/>
      <c r="R878" s="27"/>
      <c r="S878" s="5"/>
      <c r="T878" s="27"/>
      <c r="U878" s="5"/>
      <c r="V878" s="5"/>
      <c r="W878" s="5"/>
      <c r="X878" s="5"/>
      <c r="Y878" s="5"/>
      <c r="Z878" s="5"/>
      <c r="AA878" s="5"/>
      <c r="AB878" s="5"/>
      <c r="AC878" s="5"/>
      <c r="AD878" s="5"/>
      <c r="AE878" s="5"/>
      <c r="AF878" s="5"/>
      <c r="AG878" s="5"/>
      <c r="AH878" s="5"/>
      <c r="AI878" s="5"/>
      <c r="AJ878" s="5"/>
      <c r="AM878" s="23"/>
    </row>
    <row r="879" spans="1:39" x14ac:dyDescent="0.2">
      <c r="A879" s="11"/>
      <c r="B879" s="11"/>
      <c r="C879" s="5"/>
      <c r="D879" s="5"/>
      <c r="E879" s="5"/>
      <c r="F879" s="5"/>
      <c r="G879" s="5"/>
      <c r="H879" s="5"/>
      <c r="I879" s="5"/>
      <c r="J879" s="5" t="s">
        <v>495</v>
      </c>
      <c r="K879" s="5"/>
      <c r="L879" s="5" t="s">
        <v>496</v>
      </c>
      <c r="M879" s="5"/>
      <c r="N879" s="5" t="s">
        <v>497</v>
      </c>
      <c r="O879" s="5"/>
      <c r="P879" s="5" t="s">
        <v>498</v>
      </c>
      <c r="Q879" s="5"/>
      <c r="R879" s="5" t="s">
        <v>499</v>
      </c>
      <c r="S879" s="5"/>
      <c r="T879" s="5" t="s">
        <v>500</v>
      </c>
      <c r="U879" s="5"/>
      <c r="V879" s="5"/>
      <c r="W879" s="5"/>
      <c r="X879" s="5"/>
      <c r="Y879" s="5"/>
      <c r="Z879" s="5"/>
      <c r="AA879" s="5"/>
      <c r="AB879" s="5"/>
      <c r="AC879" s="5"/>
      <c r="AD879" s="5"/>
      <c r="AE879" s="5"/>
      <c r="AF879" s="5"/>
      <c r="AG879" s="5"/>
      <c r="AH879" s="5"/>
      <c r="AI879" s="5"/>
      <c r="AJ879" s="5"/>
      <c r="AM879" s="23"/>
    </row>
    <row r="880" spans="1:39" x14ac:dyDescent="0.2">
      <c r="A880" s="11"/>
      <c r="B880" s="11"/>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M880" s="23"/>
    </row>
    <row r="881" spans="1:39" x14ac:dyDescent="0.2">
      <c r="A881" s="11"/>
      <c r="B881" s="11"/>
      <c r="C881" s="5"/>
      <c r="D881" s="13" t="s">
        <v>501</v>
      </c>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M881" s="23"/>
    </row>
    <row r="882" spans="1:39" x14ac:dyDescent="0.2">
      <c r="A882" s="11"/>
      <c r="B882" s="11"/>
      <c r="C882" s="5"/>
      <c r="D882" s="5" t="s">
        <v>276</v>
      </c>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M882" s="23"/>
    </row>
    <row r="883" spans="1:39" x14ac:dyDescent="0.2">
      <c r="A883" s="11"/>
      <c r="B883" s="11"/>
      <c r="C883" s="5"/>
      <c r="D883" s="5"/>
      <c r="E883" s="5"/>
      <c r="F883" s="5"/>
      <c r="G883" s="5"/>
      <c r="H883" s="5"/>
      <c r="I883" s="5"/>
      <c r="J883" s="27"/>
      <c r="K883" s="5" t="s">
        <v>277</v>
      </c>
      <c r="L883" s="5"/>
      <c r="M883" s="5"/>
      <c r="N883" s="5"/>
      <c r="O883" s="5" t="e">
        <f>{#VALUE!}</f>
        <v>#VALUE!</v>
      </c>
      <c r="P883" s="27"/>
      <c r="Q883" s="5" t="s">
        <v>170</v>
      </c>
      <c r="R883" s="5"/>
      <c r="S883" s="5"/>
      <c r="T883" s="27"/>
      <c r="U883" s="5" t="s">
        <v>172</v>
      </c>
      <c r="V883" s="5"/>
      <c r="W883" s="5"/>
      <c r="X883" s="5"/>
      <c r="Y883" s="5"/>
      <c r="Z883" s="5"/>
      <c r="AA883" s="5"/>
      <c r="AB883" s="5"/>
      <c r="AC883" s="5"/>
      <c r="AD883" s="5"/>
      <c r="AE883" s="5"/>
      <c r="AF883" s="5"/>
      <c r="AG883" s="5"/>
      <c r="AH883" s="5"/>
      <c r="AI883" s="5"/>
      <c r="AJ883" s="5"/>
      <c r="AM883" s="23"/>
    </row>
    <row r="884" spans="1:39" x14ac:dyDescent="0.2">
      <c r="A884" s="11"/>
      <c r="B884" s="11"/>
      <c r="C884" s="5"/>
      <c r="D884" s="5"/>
      <c r="E884" s="5"/>
      <c r="F884" s="5"/>
      <c r="G884" s="5"/>
      <c r="H884" s="5"/>
      <c r="I884" s="5"/>
      <c r="J884" s="28"/>
      <c r="K884" s="5" t="s">
        <v>278</v>
      </c>
      <c r="L884" s="5"/>
      <c r="M884" s="5"/>
      <c r="N884" s="5"/>
      <c r="O884" s="5" t="e">
        <f>{#VALUE!}</f>
        <v>#VALUE!</v>
      </c>
      <c r="P884" s="28"/>
      <c r="Q884" s="5" t="s">
        <v>170</v>
      </c>
      <c r="R884" s="5"/>
      <c r="S884" s="5"/>
      <c r="T884" s="28"/>
      <c r="U884" s="5" t="s">
        <v>172</v>
      </c>
      <c r="V884" s="5"/>
      <c r="W884" s="5"/>
      <c r="X884" s="5"/>
      <c r="Y884" s="5"/>
      <c r="Z884" s="5"/>
      <c r="AA884" s="5"/>
      <c r="AB884" s="5"/>
      <c r="AC884" s="5"/>
      <c r="AD884" s="5"/>
      <c r="AE884" s="5"/>
      <c r="AF884" s="5"/>
      <c r="AG884" s="5"/>
      <c r="AH884" s="5"/>
      <c r="AI884" s="5"/>
      <c r="AJ884" s="5"/>
      <c r="AM884" s="23"/>
    </row>
    <row r="885" spans="1:39" x14ac:dyDescent="0.2">
      <c r="A885" s="11"/>
      <c r="B885" s="11"/>
      <c r="C885" s="5"/>
      <c r="D885" s="5"/>
      <c r="E885" s="5"/>
      <c r="F885" s="5"/>
      <c r="G885" s="5"/>
      <c r="H885" s="5"/>
      <c r="I885" s="5"/>
      <c r="J885" s="28"/>
      <c r="K885" s="5" t="s">
        <v>279</v>
      </c>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M885" s="23"/>
    </row>
    <row r="886" spans="1:39" x14ac:dyDescent="0.2">
      <c r="A886" s="11"/>
      <c r="B886" s="11"/>
      <c r="C886" s="5"/>
      <c r="D886" s="5"/>
      <c r="E886" s="5"/>
      <c r="F886" s="5"/>
      <c r="G886" s="5"/>
      <c r="H886" s="5"/>
      <c r="I886" s="5"/>
      <c r="J886" s="28"/>
      <c r="K886" s="5" t="s">
        <v>280</v>
      </c>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M886" s="23"/>
    </row>
    <row r="887" spans="1:39" x14ac:dyDescent="0.2">
      <c r="A887" s="11"/>
      <c r="B887" s="11"/>
      <c r="C887" s="5"/>
      <c r="D887" s="5"/>
      <c r="E887" s="5"/>
      <c r="F887" s="5"/>
      <c r="G887" s="5"/>
      <c r="H887" s="5"/>
      <c r="I887" s="5"/>
      <c r="J887" s="31"/>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M887" s="23"/>
    </row>
    <row r="888" spans="1:39" x14ac:dyDescent="0.2">
      <c r="A888" s="11"/>
      <c r="B888" s="11"/>
      <c r="C888" s="5"/>
      <c r="D888" s="13" t="s">
        <v>501</v>
      </c>
      <c r="E888" s="5"/>
      <c r="F888" s="5"/>
      <c r="G888" s="5"/>
      <c r="H888" s="5"/>
      <c r="I888" s="5"/>
      <c r="J888" s="31"/>
      <c r="K888" s="5"/>
      <c r="L888" s="5"/>
      <c r="M888" s="5"/>
      <c r="N888" s="5"/>
      <c r="O888" s="5"/>
      <c r="P888" s="5"/>
      <c r="Q888" s="5"/>
      <c r="R888" s="5"/>
      <c r="S888" s="5"/>
      <c r="T888" s="5"/>
      <c r="U888" s="5"/>
      <c r="V888" s="5" t="s">
        <v>502</v>
      </c>
      <c r="W888" s="5"/>
      <c r="X888" s="5"/>
      <c r="Y888" s="5"/>
      <c r="Z888" s="5"/>
      <c r="AA888" s="5" t="s">
        <v>409</v>
      </c>
      <c r="AB888" s="5"/>
      <c r="AC888" s="5"/>
      <c r="AD888" s="5"/>
      <c r="AE888" s="5"/>
      <c r="AF888" s="5"/>
      <c r="AG888" s="5"/>
      <c r="AH888" s="5"/>
      <c r="AI888" s="5"/>
      <c r="AJ888" s="5"/>
      <c r="AM888" s="23"/>
    </row>
    <row r="889" spans="1:39" ht="15" x14ac:dyDescent="0.2">
      <c r="A889" s="11"/>
      <c r="B889" s="11"/>
      <c r="C889" s="5"/>
      <c r="D889" s="5" t="s">
        <v>273</v>
      </c>
      <c r="E889" s="5"/>
      <c r="F889" s="5"/>
      <c r="G889" s="5"/>
      <c r="H889" s="5"/>
      <c r="I889" s="5"/>
      <c r="J889" s="31"/>
      <c r="K889" s="5"/>
      <c r="L889" s="5"/>
      <c r="M889" s="5"/>
      <c r="N889" s="5"/>
      <c r="O889" s="5"/>
      <c r="P889" s="5"/>
      <c r="Q889" s="5"/>
      <c r="R889" s="5"/>
      <c r="S889" s="5"/>
      <c r="T889" s="5"/>
      <c r="U889" s="5"/>
      <c r="V889" s="109"/>
      <c r="W889" s="131"/>
      <c r="X889" s="109"/>
      <c r="Y889" s="208"/>
      <c r="Z889" s="5"/>
      <c r="AA889" s="109"/>
      <c r="AB889" s="131"/>
      <c r="AC889" s="109"/>
      <c r="AD889" s="208"/>
      <c r="AE889" s="5"/>
      <c r="AF889" s="5"/>
      <c r="AG889" s="5"/>
      <c r="AH889" s="5"/>
      <c r="AI889" s="5"/>
      <c r="AJ889" s="5"/>
      <c r="AM889" s="23"/>
    </row>
    <row r="890" spans="1:39" x14ac:dyDescent="0.2">
      <c r="A890" s="11"/>
      <c r="B890" s="11"/>
      <c r="C890" s="5"/>
      <c r="D890" s="5"/>
      <c r="E890" s="5"/>
      <c r="F890" s="5"/>
      <c r="G890" s="5"/>
      <c r="H890" s="5"/>
      <c r="I890" s="5"/>
      <c r="J890" s="31"/>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M890" s="23"/>
    </row>
    <row r="891" spans="1:39" x14ac:dyDescent="0.2">
      <c r="A891" s="11"/>
      <c r="B891" s="11"/>
      <c r="C891" s="5"/>
      <c r="D891" s="13" t="s">
        <v>501</v>
      </c>
      <c r="E891" s="5"/>
      <c r="F891" s="5"/>
      <c r="G891" s="5"/>
      <c r="H891" s="5"/>
      <c r="I891" s="5"/>
      <c r="J891" s="31"/>
      <c r="K891" s="5"/>
      <c r="L891" s="5"/>
      <c r="M891" s="5"/>
      <c r="N891" s="5"/>
      <c r="O891" s="5"/>
      <c r="P891" s="5"/>
      <c r="Q891" s="5"/>
      <c r="R891" s="5"/>
      <c r="S891" s="5"/>
      <c r="T891" s="5"/>
      <c r="U891" s="5"/>
      <c r="V891" s="5" t="s">
        <v>502</v>
      </c>
      <c r="W891" s="5"/>
      <c r="X891" s="5"/>
      <c r="Y891" s="5"/>
      <c r="Z891" s="5"/>
      <c r="AA891" s="5"/>
      <c r="AB891" s="5"/>
      <c r="AC891" s="5"/>
      <c r="AD891" s="5"/>
      <c r="AE891" s="5"/>
      <c r="AF891" s="5"/>
      <c r="AG891" s="5"/>
      <c r="AH891" s="5"/>
      <c r="AI891" s="5"/>
      <c r="AJ891" s="5"/>
      <c r="AM891" s="23"/>
    </row>
    <row r="892" spans="1:39" ht="15" x14ac:dyDescent="0.2">
      <c r="A892" s="11"/>
      <c r="B892" s="11"/>
      <c r="C892" s="5"/>
      <c r="D892" s="5" t="s">
        <v>503</v>
      </c>
      <c r="E892" s="5"/>
      <c r="F892" s="5"/>
      <c r="G892" s="5"/>
      <c r="H892" s="5"/>
      <c r="I892" s="5"/>
      <c r="J892" s="31"/>
      <c r="K892" s="5"/>
      <c r="L892" s="5"/>
      <c r="M892" s="5"/>
      <c r="N892" s="5"/>
      <c r="O892" s="5"/>
      <c r="P892" s="5"/>
      <c r="Q892" s="5"/>
      <c r="R892" s="5"/>
      <c r="S892" s="5"/>
      <c r="T892" s="5"/>
      <c r="U892" s="5"/>
      <c r="V892" s="109"/>
      <c r="W892" s="131"/>
      <c r="X892" s="109"/>
      <c r="Y892" s="208"/>
      <c r="Z892" s="5"/>
      <c r="AA892" s="5"/>
      <c r="AB892" s="5"/>
      <c r="AC892" s="5"/>
      <c r="AD892" s="5"/>
      <c r="AE892" s="5"/>
      <c r="AF892" s="5"/>
      <c r="AG892" s="5"/>
      <c r="AH892" s="5"/>
      <c r="AI892" s="5"/>
      <c r="AJ892" s="5"/>
      <c r="AM892" s="23"/>
    </row>
    <row r="893" spans="1:39" x14ac:dyDescent="0.2">
      <c r="A893" s="11"/>
      <c r="B893" s="11"/>
      <c r="C893" s="5"/>
      <c r="D893" s="5"/>
      <c r="E893" s="5"/>
      <c r="F893" s="5"/>
      <c r="G893" s="5"/>
      <c r="H893" s="5"/>
      <c r="I893" s="5"/>
      <c r="J893" s="31"/>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M893" s="23"/>
    </row>
    <row r="894" spans="1:39" x14ac:dyDescent="0.2">
      <c r="A894" s="11"/>
      <c r="B894" s="11"/>
      <c r="C894" s="5"/>
      <c r="D894" s="160" t="s">
        <v>504</v>
      </c>
      <c r="E894" s="5"/>
      <c r="F894" s="5"/>
      <c r="G894" s="5"/>
      <c r="H894" s="5"/>
      <c r="I894" s="5"/>
      <c r="J894" s="31"/>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M894" s="23"/>
    </row>
    <row r="895" spans="1:39" x14ac:dyDescent="0.2">
      <c r="A895" s="11"/>
      <c r="B895" s="11"/>
      <c r="C895" s="5"/>
      <c r="E895" s="13" t="s">
        <v>505</v>
      </c>
      <c r="F895" s="5"/>
      <c r="G895" s="5"/>
      <c r="H895" s="5"/>
      <c r="I895" s="5"/>
      <c r="J895" s="5"/>
      <c r="K895" s="5"/>
      <c r="L895" s="37"/>
      <c r="M895" s="37"/>
      <c r="N895" s="37"/>
      <c r="O895" s="37"/>
      <c r="P895" s="37"/>
      <c r="Q895" s="37"/>
      <c r="R895" s="37"/>
      <c r="S895" s="37"/>
      <c r="T895" s="37"/>
      <c r="U895" s="37"/>
      <c r="V895" s="37"/>
      <c r="W895" s="37"/>
      <c r="X895" s="37"/>
      <c r="Y895" s="5"/>
      <c r="Z895" s="5"/>
      <c r="AA895" s="5"/>
      <c r="AB895" s="5"/>
      <c r="AC895" s="5"/>
      <c r="AD895" s="5"/>
      <c r="AE895" s="5"/>
      <c r="AF895" s="5"/>
      <c r="AG895" s="5"/>
      <c r="AH895" s="5"/>
      <c r="AI895" s="5"/>
      <c r="AJ895" s="5"/>
      <c r="AM895" s="23"/>
    </row>
    <row r="896" spans="1:39" x14ac:dyDescent="0.2">
      <c r="A896" s="11"/>
      <c r="B896" s="11"/>
      <c r="C896" s="5"/>
      <c r="E896" s="13" t="s">
        <v>284</v>
      </c>
      <c r="F896" s="5"/>
      <c r="G896" s="5"/>
      <c r="H896" s="5"/>
      <c r="I896" s="5"/>
      <c r="J896" s="5"/>
      <c r="K896" s="5"/>
      <c r="L896" s="37"/>
      <c r="M896" s="37"/>
      <c r="N896" s="37"/>
      <c r="O896" s="37"/>
      <c r="P896" s="37"/>
      <c r="Q896" s="37"/>
      <c r="R896" s="37"/>
      <c r="S896" s="37"/>
      <c r="T896" s="37"/>
      <c r="U896" s="37"/>
      <c r="V896" s="37"/>
      <c r="W896" s="37"/>
      <c r="X896" s="37"/>
      <c r="Y896" s="5"/>
      <c r="Z896" s="5"/>
      <c r="AA896" s="5"/>
      <c r="AB896" s="5"/>
      <c r="AC896" s="5"/>
      <c r="AD896" s="5"/>
      <c r="AE896" s="5"/>
      <c r="AF896" s="5"/>
      <c r="AG896" s="5"/>
      <c r="AH896" s="5"/>
      <c r="AI896" s="5"/>
      <c r="AJ896" s="5"/>
      <c r="AM896" s="23"/>
    </row>
    <row r="897" spans="1:39" x14ac:dyDescent="0.2">
      <c r="A897" s="11"/>
      <c r="B897" s="11"/>
      <c r="C897" s="5"/>
      <c r="E897" s="13" t="s">
        <v>506</v>
      </c>
      <c r="F897" s="5"/>
      <c r="G897" s="5"/>
      <c r="H897" s="5"/>
      <c r="I897" s="5"/>
      <c r="J897" s="5"/>
      <c r="K897" s="5"/>
      <c r="L897" s="37"/>
      <c r="M897" s="37"/>
      <c r="N897" s="37"/>
      <c r="O897" s="37"/>
      <c r="P897" s="37"/>
      <c r="Q897" s="37"/>
      <c r="R897" s="37"/>
      <c r="S897" s="37"/>
      <c r="T897" s="37"/>
      <c r="U897" s="37"/>
      <c r="V897" s="37"/>
      <c r="W897" s="37"/>
      <c r="X897" s="37"/>
      <c r="Y897" s="5"/>
      <c r="Z897" s="5"/>
      <c r="AA897" s="5"/>
      <c r="AB897" s="5"/>
      <c r="AC897" s="5"/>
      <c r="AD897" s="5"/>
      <c r="AE897" s="5"/>
      <c r="AF897" s="5"/>
      <c r="AG897" s="5"/>
      <c r="AH897" s="5"/>
      <c r="AI897" s="5"/>
      <c r="AJ897" s="5"/>
      <c r="AM897" s="23"/>
    </row>
    <row r="898" spans="1:39" x14ac:dyDescent="0.2">
      <c r="A898" s="11"/>
      <c r="B898" s="11"/>
      <c r="C898" s="5"/>
      <c r="E898" s="64"/>
      <c r="F898" s="5"/>
      <c r="G898" s="5"/>
      <c r="H898" s="5"/>
      <c r="I898" s="5"/>
      <c r="J898" s="5"/>
      <c r="K898" s="5"/>
      <c r="L898" s="37"/>
      <c r="M898" s="37"/>
      <c r="N898" s="37"/>
      <c r="O898" s="37"/>
      <c r="P898" s="37"/>
      <c r="Q898" s="37"/>
      <c r="R898" s="37"/>
      <c r="S898" s="37"/>
      <c r="T898" s="37"/>
      <c r="U898" s="37"/>
      <c r="V898" s="37"/>
      <c r="W898" s="37"/>
      <c r="X898" s="37"/>
      <c r="Y898" s="5"/>
      <c r="Z898" s="5"/>
      <c r="AA898" s="5"/>
      <c r="AB898" s="5"/>
      <c r="AC898" s="5"/>
      <c r="AD898" s="5"/>
      <c r="AE898" s="5"/>
      <c r="AF898" s="5"/>
      <c r="AG898" s="5"/>
      <c r="AH898" s="5"/>
      <c r="AI898" s="5"/>
      <c r="AJ898" s="5"/>
      <c r="AM898" s="23"/>
    </row>
    <row r="899" spans="1:39" x14ac:dyDescent="0.2">
      <c r="A899" s="11"/>
      <c r="B899" s="11"/>
      <c r="C899" s="29" t="s">
        <v>15</v>
      </c>
      <c r="D899" s="5" t="s">
        <v>286</v>
      </c>
      <c r="F899" s="5"/>
      <c r="G899" s="5"/>
      <c r="H899" s="5"/>
      <c r="I899" s="5"/>
      <c r="J899" s="5"/>
      <c r="K899" s="5"/>
      <c r="L899" s="37"/>
      <c r="M899" s="37"/>
      <c r="N899" s="37"/>
      <c r="O899" s="37"/>
      <c r="P899" s="37"/>
      <c r="Q899" s="37"/>
      <c r="R899" s="37"/>
      <c r="S899" s="37"/>
      <c r="T899" s="37"/>
      <c r="U899" s="37"/>
      <c r="V899" s="37"/>
      <c r="W899" s="37"/>
      <c r="X899" s="37"/>
      <c r="Y899" s="5"/>
      <c r="Z899" s="5"/>
      <c r="AA899" s="5"/>
      <c r="AB899" s="5"/>
      <c r="AC899" s="5"/>
      <c r="AD899" s="5"/>
      <c r="AE899" s="5"/>
      <c r="AF899" s="5"/>
      <c r="AG899" s="5"/>
      <c r="AH899" s="5"/>
      <c r="AI899" s="5"/>
      <c r="AJ899" s="5"/>
      <c r="AM899" s="23"/>
    </row>
    <row r="900" spans="1:39" x14ac:dyDescent="0.2">
      <c r="A900" s="11"/>
      <c r="B900" s="11"/>
      <c r="C900" s="5"/>
      <c r="D900" s="27" t="s">
        <v>9</v>
      </c>
      <c r="E900" s="61" t="s">
        <v>27</v>
      </c>
      <c r="F900" s="5" t="s">
        <v>68</v>
      </c>
      <c r="G900" s="37"/>
      <c r="H900" s="37"/>
      <c r="I900" s="37"/>
      <c r="J900" s="37"/>
      <c r="K900" s="37"/>
      <c r="L900" s="37"/>
      <c r="M900" s="37"/>
      <c r="N900" s="37"/>
      <c r="O900" s="37"/>
      <c r="P900" s="37"/>
      <c r="Q900" s="37"/>
      <c r="R900" s="37"/>
      <c r="U900" s="37"/>
      <c r="V900" s="37"/>
      <c r="W900" s="37"/>
      <c r="X900" s="37"/>
      <c r="Y900" s="5"/>
      <c r="Z900" s="5"/>
      <c r="AA900" s="5"/>
      <c r="AB900" s="5"/>
      <c r="AC900" s="5"/>
      <c r="AD900" s="5"/>
      <c r="AE900" s="5"/>
      <c r="AF900" s="5"/>
      <c r="AG900" s="5"/>
      <c r="AH900" s="5"/>
      <c r="AI900" s="5"/>
      <c r="AJ900" s="5"/>
      <c r="AM900" s="23"/>
    </row>
    <row r="901" spans="1:39" x14ac:dyDescent="0.2">
      <c r="A901" s="11"/>
      <c r="B901" s="11"/>
      <c r="C901" s="5"/>
      <c r="D901" s="28"/>
      <c r="E901" s="61" t="s">
        <v>25</v>
      </c>
      <c r="F901" s="5"/>
      <c r="G901" s="37"/>
      <c r="H901" s="37"/>
      <c r="I901" s="37"/>
      <c r="J901" s="37"/>
      <c r="K901" s="37"/>
      <c r="L901" s="37"/>
      <c r="M901" s="37"/>
      <c r="N901" s="37"/>
      <c r="O901" s="37"/>
      <c r="P901" s="37"/>
      <c r="Q901" s="37"/>
      <c r="R901" s="37"/>
      <c r="U901" s="37"/>
      <c r="V901" s="37"/>
      <c r="W901" s="37"/>
      <c r="X901" s="37"/>
      <c r="Y901" s="5"/>
      <c r="Z901" s="5"/>
      <c r="AA901" s="5"/>
      <c r="AB901" s="5"/>
      <c r="AC901" s="5"/>
      <c r="AD901" s="5"/>
      <c r="AE901" s="5"/>
      <c r="AF901" s="5"/>
      <c r="AG901" s="5"/>
      <c r="AH901" s="5"/>
      <c r="AI901" s="5"/>
      <c r="AJ901" s="5"/>
      <c r="AM901" s="23"/>
    </row>
    <row r="902" spans="1:39" x14ac:dyDescent="0.2">
      <c r="A902" s="11"/>
      <c r="B902" s="11"/>
      <c r="C902" s="5"/>
      <c r="D902" s="31"/>
      <c r="E902" s="29" t="s">
        <v>15</v>
      </c>
      <c r="F902" s="5" t="s">
        <v>287</v>
      </c>
      <c r="G902" s="37"/>
      <c r="H902" s="37"/>
      <c r="I902" s="37"/>
      <c r="J902" s="37"/>
      <c r="K902" s="37"/>
      <c r="L902" s="37"/>
      <c r="M902" s="37"/>
      <c r="N902" s="70"/>
      <c r="O902" s="70"/>
      <c r="P902" s="70"/>
      <c r="Q902" s="70"/>
      <c r="R902" s="5" t="s">
        <v>507</v>
      </c>
      <c r="U902" s="37"/>
      <c r="V902" s="37"/>
      <c r="W902" s="37"/>
      <c r="X902" s="37"/>
      <c r="Y902" s="5"/>
      <c r="Z902" s="5"/>
      <c r="AA902" s="5"/>
      <c r="AB902" s="5"/>
      <c r="AC902" s="5"/>
      <c r="AD902" s="5"/>
      <c r="AE902" s="5"/>
      <c r="AF902" s="5"/>
      <c r="AG902" s="5"/>
      <c r="AH902" s="5"/>
      <c r="AI902" s="5"/>
      <c r="AJ902" s="5"/>
      <c r="AM902" s="23"/>
    </row>
    <row r="903" spans="1:39" x14ac:dyDescent="0.2">
      <c r="A903" s="11"/>
      <c r="B903" s="24"/>
      <c r="C903" s="14"/>
      <c r="D903" s="14"/>
      <c r="E903" s="14"/>
      <c r="F903" s="14"/>
      <c r="G903" s="14"/>
      <c r="H903" s="14"/>
      <c r="I903" s="14"/>
      <c r="J903" s="32"/>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5"/>
      <c r="AJ903" s="5"/>
      <c r="AM903" s="26"/>
    </row>
    <row r="904" spans="1:39" x14ac:dyDescent="0.2">
      <c r="A904" s="11"/>
      <c r="B904" s="16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I904" s="17"/>
      <c r="AJ904" s="17"/>
      <c r="AK904" s="17"/>
      <c r="AL904" s="17"/>
      <c r="AM904" s="92"/>
    </row>
    <row r="905" spans="1:39" x14ac:dyDescent="0.2">
      <c r="A905" s="11"/>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9"/>
    </row>
    <row r="906" spans="1:39" x14ac:dyDescent="0.2">
      <c r="A906" s="11"/>
      <c r="B906" s="11"/>
      <c r="C906" s="122" t="s">
        <v>508</v>
      </c>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M906" s="23"/>
    </row>
    <row r="907" spans="1:39" x14ac:dyDescent="0.2">
      <c r="A907" s="11"/>
      <c r="B907" s="11"/>
      <c r="C907" s="237"/>
      <c r="D907" s="237"/>
      <c r="E907" s="237"/>
      <c r="F907" s="237"/>
      <c r="G907" s="237"/>
      <c r="H907" s="237"/>
      <c r="I907" s="237"/>
      <c r="J907" s="237"/>
      <c r="K907" s="237"/>
      <c r="L907" s="237"/>
      <c r="M907" s="237"/>
      <c r="N907" s="237"/>
      <c r="O907" s="237"/>
      <c r="P907" s="237"/>
      <c r="Q907" s="237"/>
      <c r="R907" s="237"/>
      <c r="S907" s="237"/>
      <c r="T907" s="237"/>
      <c r="U907" s="237"/>
      <c r="V907" s="237"/>
      <c r="W907" s="237"/>
      <c r="X907" s="237"/>
      <c r="Y907" s="237"/>
      <c r="Z907" s="237"/>
      <c r="AA907" s="237"/>
      <c r="AB907" s="237"/>
      <c r="AC907" s="237"/>
      <c r="AD907" s="237"/>
      <c r="AE907" s="237"/>
      <c r="AF907" s="237"/>
      <c r="AG907" s="237"/>
      <c r="AH907" s="237"/>
      <c r="AI907" s="237"/>
      <c r="AJ907" s="237"/>
      <c r="AK907" s="237"/>
      <c r="AL907" s="237"/>
      <c r="AM907" s="23"/>
    </row>
    <row r="908" spans="1:39" ht="15" x14ac:dyDescent="0.25">
      <c r="A908" s="11"/>
      <c r="B908" s="11"/>
      <c r="C908" s="297" t="s">
        <v>1180</v>
      </c>
      <c r="D908" s="237"/>
      <c r="E908" s="237"/>
      <c r="F908" s="237"/>
      <c r="G908" s="237"/>
      <c r="H908" s="237"/>
      <c r="I908" s="237"/>
      <c r="J908" s="237"/>
      <c r="K908" s="237"/>
      <c r="L908" s="237"/>
      <c r="M908" s="237"/>
      <c r="N908" s="237"/>
      <c r="O908" s="237"/>
      <c r="P908" s="237"/>
      <c r="Q908" s="237"/>
      <c r="R908" s="237"/>
      <c r="S908" s="237"/>
      <c r="T908" s="237"/>
      <c r="U908" s="237"/>
      <c r="V908" s="237"/>
      <c r="W908" s="237"/>
      <c r="X908" s="237"/>
      <c r="Y908" s="237"/>
      <c r="Z908" s="237"/>
      <c r="AA908" s="237"/>
      <c r="AB908" s="237"/>
      <c r="AC908" s="237"/>
      <c r="AD908" s="237"/>
      <c r="AE908" s="237"/>
      <c r="AF908" s="237"/>
      <c r="AG908" s="237"/>
      <c r="AH908" s="237"/>
      <c r="AI908" s="237"/>
      <c r="AJ908" s="237"/>
      <c r="AK908" s="237"/>
      <c r="AL908" s="237"/>
      <c r="AM908" s="23"/>
    </row>
    <row r="909" spans="1:39" ht="15" x14ac:dyDescent="0.25">
      <c r="A909" s="11"/>
      <c r="B909" s="11"/>
      <c r="C909" s="297" t="s">
        <v>1181</v>
      </c>
      <c r="D909" s="237"/>
      <c r="E909" s="237"/>
      <c r="F909" s="237"/>
      <c r="G909" s="237"/>
      <c r="H909" s="237"/>
      <c r="I909" s="237"/>
      <c r="J909" s="237"/>
      <c r="K909" s="237"/>
      <c r="L909" s="237"/>
      <c r="M909" s="237"/>
      <c r="N909" s="237"/>
      <c r="O909" s="237"/>
      <c r="P909" s="237"/>
      <c r="Q909" s="237"/>
      <c r="R909" s="237"/>
      <c r="S909" s="237"/>
      <c r="T909" s="237"/>
      <c r="U909" s="237"/>
      <c r="V909" s="237"/>
      <c r="W909" s="237"/>
      <c r="X909" s="237"/>
      <c r="Y909" s="237"/>
      <c r="Z909" s="237"/>
      <c r="AA909" s="237"/>
      <c r="AB909" s="237"/>
      <c r="AC909" s="237"/>
      <c r="AD909" s="237"/>
      <c r="AE909" s="237"/>
      <c r="AF909" s="237"/>
      <c r="AG909" s="237"/>
      <c r="AH909" s="237"/>
      <c r="AI909" s="237"/>
      <c r="AJ909" s="237"/>
      <c r="AK909" s="237"/>
      <c r="AL909" s="237"/>
      <c r="AM909" s="23"/>
    </row>
    <row r="910" spans="1:39" ht="15" x14ac:dyDescent="0.25">
      <c r="A910" s="11"/>
      <c r="B910" s="11"/>
      <c r="C910" s="297"/>
      <c r="D910" s="237"/>
      <c r="E910" s="237"/>
      <c r="F910" s="237"/>
      <c r="G910" s="237"/>
      <c r="H910" s="237"/>
      <c r="I910" s="237"/>
      <c r="J910" s="237"/>
      <c r="K910" s="237"/>
      <c r="L910" s="237"/>
      <c r="M910" s="237"/>
      <c r="N910" s="237"/>
      <c r="O910" s="237"/>
      <c r="P910" s="237"/>
      <c r="Q910" s="237"/>
      <c r="R910" s="237"/>
      <c r="S910" s="237"/>
      <c r="T910" s="237"/>
      <c r="U910" s="237"/>
      <c r="V910" s="237"/>
      <c r="W910" s="237"/>
      <c r="X910" s="237"/>
      <c r="Y910" s="237"/>
      <c r="Z910" s="237"/>
      <c r="AA910" s="237"/>
      <c r="AB910" s="237"/>
      <c r="AC910" s="237"/>
      <c r="AD910" s="237"/>
      <c r="AE910" s="237"/>
      <c r="AF910" s="237"/>
      <c r="AG910" s="237"/>
      <c r="AH910" s="237"/>
      <c r="AI910" s="237"/>
      <c r="AJ910" s="237"/>
      <c r="AK910" s="237"/>
      <c r="AL910" s="237"/>
      <c r="AM910" s="23"/>
    </row>
    <row r="911" spans="1:39" x14ac:dyDescent="0.2">
      <c r="A911" s="11"/>
      <c r="B911" s="11"/>
      <c r="C911" s="237"/>
      <c r="D911" s="237"/>
      <c r="E911" s="237"/>
      <c r="F911" s="237"/>
      <c r="G911" s="237"/>
      <c r="H911" s="237"/>
      <c r="I911" s="237"/>
      <c r="J911" s="237"/>
      <c r="K911" s="237"/>
      <c r="L911" s="237"/>
      <c r="M911" s="237"/>
      <c r="N911" s="237"/>
      <c r="O911" s="237"/>
      <c r="P911" s="237"/>
      <c r="Q911" s="237"/>
      <c r="R911" s="237"/>
      <c r="S911" s="237"/>
      <c r="T911" s="237"/>
      <c r="U911" s="237"/>
      <c r="V911" s="237"/>
      <c r="W911" s="237"/>
      <c r="X911" s="237"/>
      <c r="Y911" s="237"/>
      <c r="Z911" s="237"/>
      <c r="AA911" s="237"/>
      <c r="AB911" s="237"/>
      <c r="AC911" s="237"/>
      <c r="AD911" s="237"/>
      <c r="AE911" s="237"/>
      <c r="AF911" s="237"/>
      <c r="AG911" s="237"/>
      <c r="AH911" s="237"/>
      <c r="AI911" s="237"/>
      <c r="AJ911" s="237"/>
      <c r="AK911" s="237"/>
      <c r="AL911" s="237"/>
      <c r="AM911" s="23"/>
    </row>
    <row r="912" spans="1:39" x14ac:dyDescent="0.2">
      <c r="A912" s="11"/>
      <c r="B912" s="2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5"/>
      <c r="AJ912" s="5"/>
      <c r="AM912" s="26"/>
    </row>
    <row r="913" spans="1:39" x14ac:dyDescent="0.2">
      <c r="A913" s="11"/>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I913" s="17"/>
      <c r="AJ913" s="17"/>
      <c r="AK913" s="17"/>
      <c r="AL913" s="17"/>
      <c r="AM913" s="92"/>
    </row>
    <row r="914" spans="1:39" x14ac:dyDescent="0.2">
      <c r="A914" s="11"/>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9"/>
    </row>
    <row r="915" spans="1:39" x14ac:dyDescent="0.2">
      <c r="A915" s="11"/>
      <c r="B915" s="11"/>
      <c r="C915" s="243" t="s">
        <v>509</v>
      </c>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M915" s="23"/>
    </row>
    <row r="916" spans="1:39" x14ac:dyDescent="0.2">
      <c r="A916" s="11"/>
      <c r="B916" s="11"/>
      <c r="C916" s="5"/>
      <c r="D916" s="5"/>
      <c r="E916" s="5"/>
      <c r="F916" s="5"/>
      <c r="G916" s="5"/>
      <c r="H916" s="5"/>
      <c r="I916" s="5"/>
      <c r="J916" s="5"/>
      <c r="K916" s="5"/>
      <c r="L916" s="5"/>
      <c r="M916" s="5"/>
      <c r="N916" s="5"/>
      <c r="O916" s="5"/>
      <c r="P916" s="5"/>
      <c r="Q916" s="244" t="s">
        <v>510</v>
      </c>
      <c r="R916" s="5" t="s">
        <v>64</v>
      </c>
      <c r="S916" s="5"/>
      <c r="T916" s="5"/>
      <c r="U916" s="5"/>
      <c r="V916" s="5"/>
      <c r="W916" s="5"/>
      <c r="X916" s="29" t="s">
        <v>511</v>
      </c>
      <c r="Y916" s="5"/>
      <c r="Z916" s="5"/>
      <c r="AA916" s="5"/>
      <c r="AB916" s="5"/>
      <c r="AC916" s="5"/>
      <c r="AD916" s="5"/>
      <c r="AE916" s="5"/>
      <c r="AF916" s="5"/>
      <c r="AG916" s="5"/>
      <c r="AH916" s="5"/>
      <c r="AI916" s="5"/>
      <c r="AJ916" s="5"/>
      <c r="AM916" s="23"/>
    </row>
    <row r="917" spans="1:39" x14ac:dyDescent="0.2">
      <c r="A917" s="11"/>
      <c r="B917" s="11"/>
      <c r="C917" s="5"/>
      <c r="D917" s="5"/>
      <c r="E917" s="5"/>
      <c r="F917" s="5"/>
      <c r="G917" s="5"/>
      <c r="H917" s="5"/>
      <c r="I917" s="5"/>
      <c r="J917" s="5"/>
      <c r="K917" s="5"/>
      <c r="L917" s="5"/>
      <c r="M917" s="5"/>
      <c r="N917" s="5"/>
      <c r="O917" s="5"/>
      <c r="P917" s="5"/>
      <c r="Q917" s="67"/>
      <c r="R917" s="5"/>
      <c r="S917" s="245"/>
      <c r="T917" s="245"/>
      <c r="U917" s="245"/>
      <c r="V917" s="245">
        <v>350</v>
      </c>
      <c r="W917" s="5"/>
      <c r="X917" s="109" t="s">
        <v>512</v>
      </c>
      <c r="Y917" s="5"/>
      <c r="Z917" s="5"/>
      <c r="AA917" s="5"/>
      <c r="AB917" s="5"/>
      <c r="AC917" s="5"/>
      <c r="AD917" s="5"/>
      <c r="AE917" s="5"/>
      <c r="AF917" s="5"/>
      <c r="AG917" s="5"/>
      <c r="AH917" s="5"/>
      <c r="AI917" s="5"/>
      <c r="AJ917" s="5"/>
      <c r="AM917" s="23"/>
    </row>
    <row r="918" spans="1:39" x14ac:dyDescent="0.2">
      <c r="A918" s="11"/>
      <c r="B918" s="11"/>
      <c r="C918" s="5"/>
      <c r="D918" s="5"/>
      <c r="E918" s="5"/>
      <c r="F918" s="5"/>
      <c r="G918" s="5"/>
      <c r="H918" s="5"/>
      <c r="I918" s="5"/>
      <c r="J918" s="5"/>
      <c r="K918" s="5"/>
      <c r="L918" s="5"/>
      <c r="M918" s="5"/>
      <c r="N918" s="5"/>
      <c r="O918" s="5"/>
      <c r="P918" s="5"/>
      <c r="Q918" s="67"/>
      <c r="R918" s="5"/>
      <c r="S918" s="246"/>
      <c r="T918" s="246"/>
      <c r="U918" s="246"/>
      <c r="V918" s="246"/>
      <c r="W918" s="5"/>
      <c r="X918" s="128"/>
      <c r="Y918" s="5"/>
      <c r="Z918" s="5"/>
      <c r="AA918" s="5"/>
      <c r="AB918" s="5"/>
      <c r="AC918" s="5"/>
      <c r="AD918" s="5"/>
      <c r="AE918" s="5"/>
      <c r="AF918" s="5"/>
      <c r="AG918" s="5"/>
      <c r="AH918" s="5"/>
      <c r="AI918" s="5"/>
      <c r="AJ918" s="5"/>
      <c r="AM918" s="23"/>
    </row>
    <row r="919" spans="1:39" ht="191.25" x14ac:dyDescent="0.2">
      <c r="A919" s="11"/>
      <c r="B919" s="11"/>
      <c r="C919" s="247" t="s">
        <v>513</v>
      </c>
      <c r="D919" s="247"/>
      <c r="E919" s="247"/>
      <c r="F919" s="247"/>
      <c r="G919" s="247"/>
      <c r="H919" s="247"/>
      <c r="I919" s="247"/>
      <c r="J919" s="247"/>
      <c r="K919" s="247"/>
      <c r="L919" s="5"/>
      <c r="M919" s="5"/>
      <c r="N919" s="5"/>
      <c r="O919" s="5"/>
      <c r="P919" s="5"/>
      <c r="Q919" s="67" t="s">
        <v>514</v>
      </c>
      <c r="R919" s="5"/>
      <c r="S919" s="246"/>
      <c r="T919" s="246"/>
      <c r="U919" s="246"/>
      <c r="V919" s="246"/>
      <c r="W919" s="5"/>
      <c r="X919" s="128"/>
      <c r="Y919" s="5"/>
      <c r="Z919" s="5"/>
      <c r="AA919" s="5"/>
      <c r="AB919" s="5"/>
      <c r="AC919" s="5"/>
      <c r="AD919" s="5"/>
      <c r="AE919" s="5"/>
      <c r="AF919" s="5"/>
      <c r="AG919" s="5"/>
      <c r="AH919" s="5"/>
      <c r="AI919" s="5"/>
      <c r="AJ919" s="5"/>
      <c r="AM919" s="23"/>
    </row>
    <row r="920" spans="1:39" x14ac:dyDescent="0.2">
      <c r="A920" s="11"/>
      <c r="B920" s="11"/>
      <c r="C920" s="5"/>
      <c r="D920" s="5"/>
      <c r="E920" s="5"/>
      <c r="F920" s="5"/>
      <c r="G920" s="5"/>
      <c r="H920" s="5"/>
      <c r="I920" s="5"/>
      <c r="J920" s="5"/>
      <c r="K920" s="5"/>
      <c r="L920" s="5"/>
      <c r="M920" s="5"/>
      <c r="N920" s="5"/>
      <c r="O920" s="5"/>
      <c r="P920" s="5"/>
      <c r="Q920" s="67"/>
      <c r="R920" s="5"/>
      <c r="S920" s="246"/>
      <c r="T920" s="246"/>
      <c r="U920" s="246"/>
      <c r="V920" s="246"/>
      <c r="W920" s="5"/>
      <c r="X920" s="128"/>
      <c r="Y920" s="5"/>
      <c r="Z920" s="5"/>
      <c r="AA920" s="5"/>
      <c r="AB920" s="5"/>
      <c r="AC920" s="5"/>
      <c r="AD920" s="5"/>
      <c r="AE920" s="5"/>
      <c r="AF920" s="5"/>
      <c r="AG920" s="5"/>
      <c r="AH920" s="5"/>
      <c r="AI920" s="5"/>
      <c r="AJ920" s="5"/>
      <c r="AM920" s="23"/>
    </row>
    <row r="921" spans="1:39" x14ac:dyDescent="0.2">
      <c r="A921" s="11"/>
      <c r="B921" s="11"/>
      <c r="C921" s="5"/>
      <c r="D921" s="5"/>
      <c r="E921" s="5"/>
      <c r="F921" s="5"/>
      <c r="G921" s="5"/>
      <c r="H921" s="5"/>
      <c r="I921" s="5"/>
      <c r="J921" s="5"/>
      <c r="K921" s="5"/>
      <c r="L921" s="5"/>
      <c r="M921" s="5"/>
      <c r="N921" s="5"/>
      <c r="O921" s="5"/>
      <c r="P921" s="5"/>
      <c r="Q921" s="67"/>
      <c r="R921" s="5"/>
      <c r="S921" s="246"/>
      <c r="T921" s="246"/>
      <c r="U921" s="246"/>
      <c r="V921" s="246"/>
      <c r="W921" s="5"/>
      <c r="X921" s="128"/>
      <c r="Y921" s="5"/>
      <c r="Z921" s="5"/>
      <c r="AA921" s="5"/>
      <c r="AB921" s="5"/>
      <c r="AC921" s="5"/>
      <c r="AD921" s="5"/>
      <c r="AE921" s="5"/>
      <c r="AF921" s="5"/>
      <c r="AG921" s="5"/>
      <c r="AH921" s="5"/>
      <c r="AI921" s="5"/>
      <c r="AJ921" s="5"/>
      <c r="AM921" s="23"/>
    </row>
    <row r="922" spans="1:39" x14ac:dyDescent="0.2">
      <c r="A922" s="11"/>
      <c r="B922" s="11"/>
      <c r="C922" s="5"/>
      <c r="D922" s="5"/>
      <c r="E922" s="5"/>
      <c r="F922" s="5"/>
      <c r="G922" s="5"/>
      <c r="H922" s="5"/>
      <c r="I922" s="5"/>
      <c r="J922" s="5"/>
      <c r="K922" s="5"/>
      <c r="L922" s="5"/>
      <c r="M922" s="5"/>
      <c r="N922" s="5"/>
      <c r="O922" s="5"/>
      <c r="P922" s="5"/>
      <c r="Q922" s="67"/>
      <c r="R922" s="5"/>
      <c r="S922" s="246"/>
      <c r="T922" s="246"/>
      <c r="U922" s="246"/>
      <c r="V922" s="246"/>
      <c r="W922" s="5"/>
      <c r="X922" s="128"/>
      <c r="Y922" s="5"/>
      <c r="Z922" s="5"/>
      <c r="AA922" s="5"/>
      <c r="AB922" s="5"/>
      <c r="AC922" s="5"/>
      <c r="AD922" s="5"/>
      <c r="AE922" s="5"/>
      <c r="AF922" s="5"/>
      <c r="AG922" s="5"/>
      <c r="AH922" s="5"/>
      <c r="AI922" s="5"/>
      <c r="AJ922" s="5"/>
      <c r="AM922" s="23"/>
    </row>
    <row r="923" spans="1:39" x14ac:dyDescent="0.2">
      <c r="A923" s="11"/>
      <c r="B923" s="11"/>
      <c r="C923" s="5"/>
      <c r="D923" s="5"/>
      <c r="E923" s="5"/>
      <c r="F923" s="5"/>
      <c r="G923" s="5"/>
      <c r="H923" s="5"/>
      <c r="I923" s="5"/>
      <c r="J923" s="5"/>
      <c r="K923" s="5"/>
      <c r="L923" s="5"/>
      <c r="M923" s="5"/>
      <c r="N923" s="5"/>
      <c r="O923" s="5"/>
      <c r="P923" s="5"/>
      <c r="Q923" s="67"/>
      <c r="R923" s="5"/>
      <c r="S923" s="5"/>
      <c r="T923" s="5"/>
      <c r="U923" s="67"/>
      <c r="V923" s="5"/>
      <c r="W923" s="5"/>
      <c r="X923" s="29" t="str">
        <f>X916</f>
        <v>Currency</v>
      </c>
      <c r="Y923" s="5"/>
      <c r="Z923" s="5"/>
      <c r="AA923" s="5"/>
      <c r="AB923" s="5"/>
      <c r="AC923" s="5"/>
      <c r="AD923" s="5"/>
      <c r="AE923" s="5"/>
      <c r="AF923" s="5"/>
      <c r="AG923" s="5"/>
      <c r="AH923" s="5"/>
      <c r="AI923" s="5"/>
      <c r="AJ923" s="5"/>
      <c r="AM923" s="23"/>
    </row>
    <row r="924" spans="1:39" x14ac:dyDescent="0.2">
      <c r="A924" s="11"/>
      <c r="B924" s="11"/>
      <c r="C924" s="5"/>
      <c r="D924" s="5"/>
      <c r="E924" s="5"/>
      <c r="F924" s="5"/>
      <c r="G924" s="5"/>
      <c r="H924" s="5"/>
      <c r="I924" s="5"/>
      <c r="J924" s="5"/>
      <c r="K924" s="5"/>
      <c r="L924" s="5"/>
      <c r="M924" s="5"/>
      <c r="N924" s="5"/>
      <c r="O924" s="5"/>
      <c r="P924" s="5"/>
      <c r="Q924" s="67" t="s">
        <v>515</v>
      </c>
      <c r="R924" s="5"/>
      <c r="S924" s="245"/>
      <c r="T924" s="245"/>
      <c r="U924" s="245"/>
      <c r="V924" s="245">
        <v>350</v>
      </c>
      <c r="W924" s="5"/>
      <c r="X924" s="109" t="s">
        <v>512</v>
      </c>
      <c r="Y924" s="5"/>
      <c r="Z924" s="5"/>
      <c r="AA924" s="5"/>
      <c r="AB924" s="5"/>
      <c r="AC924" s="5"/>
      <c r="AD924" s="5"/>
      <c r="AE924" s="5"/>
      <c r="AF924" s="5"/>
      <c r="AG924" s="5"/>
      <c r="AH924" s="5"/>
      <c r="AI924" s="5"/>
      <c r="AJ924" s="5"/>
      <c r="AM924" s="23"/>
    </row>
    <row r="925" spans="1:39" x14ac:dyDescent="0.2">
      <c r="A925" s="11"/>
      <c r="B925" s="11"/>
      <c r="C925" s="5"/>
      <c r="D925" s="5"/>
      <c r="E925" s="5"/>
      <c r="F925" s="5"/>
      <c r="G925" s="5"/>
      <c r="H925" s="5"/>
      <c r="I925" s="5"/>
      <c r="J925" s="5"/>
      <c r="K925" s="5"/>
      <c r="L925" s="5"/>
      <c r="M925" s="5"/>
      <c r="N925" s="5"/>
      <c r="O925" s="5"/>
      <c r="P925" s="5"/>
      <c r="Q925" s="67"/>
      <c r="R925" s="5"/>
      <c r="S925" s="5"/>
      <c r="T925" s="5"/>
      <c r="U925" s="5"/>
      <c r="V925" s="5"/>
      <c r="W925" s="5"/>
      <c r="X925" s="5"/>
      <c r="Y925" s="5"/>
      <c r="Z925" s="5"/>
      <c r="AA925" s="5"/>
      <c r="AB925" s="5"/>
      <c r="AC925" s="5"/>
      <c r="AD925" s="5"/>
      <c r="AE925" s="5"/>
      <c r="AF925" s="5"/>
      <c r="AG925" s="5"/>
      <c r="AH925" s="5"/>
      <c r="AI925" s="5"/>
      <c r="AJ925" s="5"/>
      <c r="AM925" s="23"/>
    </row>
    <row r="926" spans="1:39" x14ac:dyDescent="0.2">
      <c r="A926" s="11"/>
      <c r="B926" s="11"/>
      <c r="C926" s="5"/>
      <c r="D926" s="5"/>
      <c r="E926" s="5"/>
      <c r="F926" s="5"/>
      <c r="G926" s="5"/>
      <c r="H926" s="5"/>
      <c r="I926" s="5"/>
      <c r="J926" s="5"/>
      <c r="K926" s="5"/>
      <c r="L926" s="5"/>
      <c r="M926" s="5"/>
      <c r="N926" s="5"/>
      <c r="O926" s="5"/>
      <c r="P926" s="5"/>
      <c r="Q926" s="244" t="s">
        <v>516</v>
      </c>
      <c r="R926" s="5" t="s">
        <v>64</v>
      </c>
      <c r="S926" s="5"/>
      <c r="T926" s="5"/>
      <c r="U926" s="5"/>
      <c r="V926" s="5"/>
      <c r="W926" s="5"/>
      <c r="X926" s="5"/>
      <c r="Y926" s="5"/>
      <c r="Z926" s="5"/>
      <c r="AA926" s="5"/>
      <c r="AB926" s="5"/>
      <c r="AC926" s="5"/>
      <c r="AD926" s="5"/>
      <c r="AE926" s="5"/>
      <c r="AF926" s="5"/>
      <c r="AG926" s="5"/>
      <c r="AH926" s="5"/>
      <c r="AI926" s="5"/>
      <c r="AJ926" s="5"/>
      <c r="AM926" s="23"/>
    </row>
    <row r="927" spans="1:39" x14ac:dyDescent="0.2">
      <c r="A927" s="11"/>
      <c r="B927" s="11"/>
      <c r="C927" s="5"/>
      <c r="D927" s="5"/>
      <c r="E927" s="5"/>
      <c r="F927" s="5"/>
      <c r="G927" s="5"/>
      <c r="H927" s="5"/>
      <c r="I927" s="5"/>
      <c r="J927" s="5"/>
      <c r="K927" s="5"/>
      <c r="L927" s="5"/>
      <c r="M927" s="5"/>
      <c r="N927" s="5"/>
      <c r="O927" s="5"/>
      <c r="P927" s="5"/>
      <c r="Q927" s="5"/>
      <c r="R927" s="5"/>
      <c r="S927" s="5"/>
      <c r="T927" s="5"/>
      <c r="U927" s="5"/>
      <c r="V927" s="5"/>
      <c r="W927" s="5"/>
      <c r="X927" s="29" t="str">
        <f>X916</f>
        <v>Currency</v>
      </c>
      <c r="Y927" s="5"/>
      <c r="Z927" s="5"/>
      <c r="AA927" s="5"/>
      <c r="AB927" s="5"/>
      <c r="AC927" s="5"/>
      <c r="AD927" s="5"/>
      <c r="AE927" s="5"/>
      <c r="AF927" s="5"/>
      <c r="AG927" s="5"/>
      <c r="AH927" s="5"/>
      <c r="AI927" s="5"/>
      <c r="AJ927" s="5"/>
      <c r="AM927" s="23"/>
    </row>
    <row r="928" spans="1:39" x14ac:dyDescent="0.2">
      <c r="A928" s="11"/>
      <c r="B928" s="11"/>
      <c r="C928" s="5"/>
      <c r="D928" s="5"/>
      <c r="E928" s="5"/>
      <c r="F928" s="5"/>
      <c r="G928" s="5"/>
      <c r="H928" s="5"/>
      <c r="I928" s="5"/>
      <c r="J928" s="5"/>
      <c r="K928" s="5"/>
      <c r="L928" s="5"/>
      <c r="M928" s="5"/>
      <c r="N928" s="5"/>
      <c r="O928" s="5"/>
      <c r="P928" s="5"/>
      <c r="Q928" s="67"/>
      <c r="R928" s="5"/>
      <c r="S928" s="245"/>
      <c r="T928" s="245"/>
      <c r="U928" s="245"/>
      <c r="V928" s="245">
        <v>235</v>
      </c>
      <c r="W928" s="5"/>
      <c r="X928" s="109" t="s">
        <v>512</v>
      </c>
      <c r="Y928" s="5" t="s">
        <v>517</v>
      </c>
      <c r="Z928" s="5"/>
      <c r="AA928" s="5"/>
      <c r="AB928" s="5"/>
      <c r="AC928" s="13"/>
      <c r="AD928" s="5"/>
      <c r="AE928" s="5"/>
      <c r="AF928" s="5"/>
      <c r="AG928" s="5"/>
      <c r="AH928" s="5"/>
      <c r="AI928" s="5"/>
      <c r="AJ928" s="5"/>
      <c r="AM928" s="23"/>
    </row>
    <row r="929" spans="1:39" x14ac:dyDescent="0.2">
      <c r="A929" s="11"/>
      <c r="B929" s="11"/>
      <c r="C929" s="5"/>
      <c r="D929" s="5"/>
      <c r="E929" s="5"/>
      <c r="F929" s="5"/>
      <c r="G929" s="5"/>
      <c r="H929" s="5"/>
      <c r="I929" s="5" t="str">
        <f>(IF(back!AA10=1,back!AM10,""))</f>
        <v/>
      </c>
      <c r="J929" s="5"/>
      <c r="K929" s="5"/>
      <c r="L929" s="5" t="str">
        <f>IF(back!AA10=1,back!AM28,"")</f>
        <v/>
      </c>
      <c r="M929" s="5"/>
      <c r="N929" s="5"/>
      <c r="O929" s="5"/>
      <c r="P929" s="5"/>
      <c r="Q929" s="67"/>
      <c r="R929" s="67"/>
      <c r="S929" s="248"/>
      <c r="T929" s="248"/>
      <c r="U929" s="248"/>
      <c r="V929" s="248"/>
      <c r="W929" s="5"/>
      <c r="X929" s="128" t="str">
        <f>IF(back!AA10=1,back!AM29,"")</f>
        <v/>
      </c>
      <c r="Y929" s="5" t="str">
        <f>IF(back!AA10=1," /Mbyte/month",Y928)</f>
        <v>/ month</v>
      </c>
      <c r="Z929" s="5"/>
      <c r="AA929" s="5"/>
      <c r="AB929" s="5"/>
      <c r="AC929" s="13"/>
      <c r="AD929" s="5"/>
      <c r="AE929" s="5"/>
      <c r="AF929" s="5"/>
      <c r="AG929" s="5"/>
      <c r="AH929" s="5"/>
      <c r="AI929" s="5"/>
      <c r="AJ929" s="5"/>
      <c r="AM929" s="23"/>
    </row>
    <row r="930" spans="1:39" x14ac:dyDescent="0.2">
      <c r="A930" s="11"/>
      <c r="B930" s="11"/>
      <c r="C930" s="5"/>
      <c r="D930" s="5"/>
      <c r="E930" s="5"/>
      <c r="F930" s="5"/>
      <c r="G930" s="5"/>
      <c r="H930" s="5"/>
      <c r="I930" s="5"/>
      <c r="J930" s="5"/>
      <c r="K930" s="5"/>
      <c r="L930" s="5"/>
      <c r="M930" s="5"/>
      <c r="N930" s="5"/>
      <c r="O930" s="5"/>
      <c r="P930" s="5"/>
      <c r="Q930" s="67"/>
      <c r="R930" s="67"/>
      <c r="S930" s="246"/>
      <c r="T930" s="246"/>
      <c r="U930" s="246"/>
      <c r="V930" s="246"/>
      <c r="W930" s="5"/>
      <c r="X930" s="128"/>
      <c r="Y930" s="5" t="str">
        <f>Y928</f>
        <v>/ month</v>
      </c>
      <c r="Z930" s="5"/>
      <c r="AA930" s="5"/>
      <c r="AB930" s="5"/>
      <c r="AC930" s="13"/>
      <c r="AD930" s="5"/>
      <c r="AE930" s="5"/>
      <c r="AF930" s="5"/>
      <c r="AG930" s="5"/>
      <c r="AH930" s="5"/>
      <c r="AI930" s="5"/>
      <c r="AJ930" s="5"/>
      <c r="AM930" s="23"/>
    </row>
    <row r="931" spans="1:39" x14ac:dyDescent="0.2">
      <c r="A931" s="11"/>
      <c r="B931" s="11"/>
      <c r="C931" s="5"/>
      <c r="D931" s="5"/>
      <c r="E931" s="5"/>
      <c r="F931" s="5"/>
      <c r="G931" s="5"/>
      <c r="H931" s="5"/>
      <c r="I931" s="5"/>
      <c r="J931" s="5"/>
      <c r="K931" s="5"/>
      <c r="L931" s="5"/>
      <c r="M931" s="5"/>
      <c r="N931" s="5"/>
      <c r="O931" s="5"/>
      <c r="P931" s="5"/>
      <c r="Q931" s="67"/>
      <c r="R931" s="67"/>
      <c r="S931" s="246"/>
      <c r="T931" s="246"/>
      <c r="U931" s="246"/>
      <c r="V931" s="246"/>
      <c r="W931" s="5"/>
      <c r="X931" s="128"/>
      <c r="Y931" s="5" t="str">
        <f>Y930</f>
        <v>/ month</v>
      </c>
      <c r="Z931" s="5"/>
      <c r="AA931" s="5"/>
      <c r="AB931" s="5"/>
      <c r="AC931" s="13"/>
      <c r="AD931" s="5"/>
      <c r="AE931" s="5"/>
      <c r="AF931" s="5"/>
      <c r="AG931" s="5"/>
      <c r="AH931" s="5"/>
      <c r="AI931" s="5"/>
      <c r="AJ931" s="5"/>
      <c r="AM931" s="23"/>
    </row>
    <row r="932" spans="1:39" x14ac:dyDescent="0.2">
      <c r="A932" s="11"/>
      <c r="B932" s="11"/>
      <c r="C932" s="5"/>
      <c r="D932" s="5"/>
      <c r="E932" s="5"/>
      <c r="F932" s="5"/>
      <c r="G932" s="5"/>
      <c r="H932" s="5"/>
      <c r="I932" s="5"/>
      <c r="J932" s="5"/>
      <c r="K932" s="5"/>
      <c r="L932" s="5"/>
      <c r="M932" s="5"/>
      <c r="N932" s="5"/>
      <c r="O932" s="5"/>
      <c r="P932" s="5"/>
      <c r="Q932" s="67"/>
      <c r="R932" s="67"/>
      <c r="S932" s="246"/>
      <c r="T932" s="246"/>
      <c r="U932" s="246"/>
      <c r="V932" s="246"/>
      <c r="W932" s="5"/>
      <c r="X932" s="128"/>
      <c r="Y932" s="5" t="str">
        <f>Y928</f>
        <v>/ month</v>
      </c>
      <c r="Z932" s="5"/>
      <c r="AA932" s="5"/>
      <c r="AB932" s="5"/>
      <c r="AC932" s="13"/>
      <c r="AD932" s="5"/>
      <c r="AE932" s="5"/>
      <c r="AF932" s="5"/>
      <c r="AG932" s="5"/>
      <c r="AH932" s="5"/>
      <c r="AI932" s="5"/>
      <c r="AJ932" s="5"/>
      <c r="AM932" s="23"/>
    </row>
    <row r="933" spans="1:39" x14ac:dyDescent="0.2">
      <c r="A933" s="11"/>
      <c r="B933" s="11"/>
      <c r="C933" s="5"/>
      <c r="D933" s="5"/>
      <c r="E933" s="5"/>
      <c r="F933" s="5"/>
      <c r="G933" s="5"/>
      <c r="H933" s="5"/>
      <c r="I933" s="5"/>
      <c r="J933" s="5"/>
      <c r="K933" s="5"/>
      <c r="L933" s="5"/>
      <c r="M933" s="5"/>
      <c r="N933" s="5"/>
      <c r="O933" s="5"/>
      <c r="P933" s="5"/>
      <c r="Q933" s="67"/>
      <c r="R933" s="67"/>
      <c r="S933" s="5"/>
      <c r="T933" s="5"/>
      <c r="U933" s="5"/>
      <c r="V933" s="67"/>
      <c r="W933" s="5"/>
      <c r="X933" s="29" t="str">
        <f>X927</f>
        <v>Currency</v>
      </c>
      <c r="Y933" s="5"/>
      <c r="Z933" s="5"/>
      <c r="AA933" s="5"/>
      <c r="AB933" s="5"/>
      <c r="AC933" s="5"/>
      <c r="AD933" s="5"/>
      <c r="AE933" s="5"/>
      <c r="AF933" s="5"/>
      <c r="AG933" s="5"/>
      <c r="AH933" s="5"/>
      <c r="AI933" s="5"/>
      <c r="AJ933" s="5"/>
      <c r="AM933" s="23"/>
    </row>
    <row r="934" spans="1:39" x14ac:dyDescent="0.2">
      <c r="A934" s="11"/>
      <c r="B934" s="11"/>
      <c r="C934" s="5"/>
      <c r="D934" s="5"/>
      <c r="E934" s="5"/>
      <c r="F934" s="5"/>
      <c r="G934" s="5"/>
      <c r="H934" s="5"/>
      <c r="I934" s="5"/>
      <c r="J934" s="5"/>
      <c r="K934" s="5"/>
      <c r="L934" s="5"/>
      <c r="M934" s="5"/>
      <c r="N934" s="5"/>
      <c r="O934" s="5"/>
      <c r="P934" s="5"/>
      <c r="Q934" s="67" t="str">
        <f>Q924</f>
        <v>Grand Total</v>
      </c>
      <c r="R934" s="67"/>
      <c r="S934" s="245"/>
      <c r="T934" s="245"/>
      <c r="U934" s="245"/>
      <c r="V934" s="245">
        <v>235</v>
      </c>
      <c r="W934" s="5"/>
      <c r="X934" s="109" t="s">
        <v>512</v>
      </c>
      <c r="Y934" s="5" t="str">
        <f>Y932</f>
        <v>/ month</v>
      </c>
      <c r="Z934" s="5"/>
      <c r="AA934" s="5"/>
      <c r="AB934" s="5"/>
      <c r="AC934" s="5"/>
      <c r="AD934" s="5"/>
      <c r="AE934" s="5"/>
      <c r="AF934" s="5"/>
      <c r="AG934" s="5"/>
      <c r="AH934" s="5"/>
      <c r="AI934" s="5"/>
      <c r="AJ934" s="5"/>
      <c r="AM934" s="23"/>
    </row>
    <row r="935" spans="1:39" x14ac:dyDescent="0.2">
      <c r="A935" s="11"/>
      <c r="B935" s="24"/>
      <c r="C935" s="14"/>
      <c r="D935" s="14"/>
      <c r="E935" s="14"/>
      <c r="F935" s="14"/>
      <c r="G935" s="14"/>
      <c r="H935" s="14"/>
      <c r="I935" s="14"/>
      <c r="J935" s="14"/>
      <c r="K935" s="14"/>
      <c r="L935" s="14"/>
      <c r="M935" s="14"/>
      <c r="N935" s="14"/>
      <c r="O935" s="14"/>
      <c r="P935" s="14"/>
      <c r="Q935" s="14"/>
      <c r="R935" s="14"/>
      <c r="S935" s="164"/>
      <c r="T935" s="249"/>
      <c r="U935" s="249"/>
      <c r="V935" s="249"/>
      <c r="W935" s="15"/>
      <c r="X935" s="15"/>
      <c r="Y935" s="15"/>
      <c r="Z935" s="14"/>
      <c r="AA935" s="14"/>
      <c r="AB935" s="14"/>
      <c r="AC935" s="14"/>
      <c r="AD935" s="14"/>
      <c r="AE935" s="14"/>
      <c r="AF935" s="14"/>
      <c r="AG935" s="14"/>
      <c r="AH935" s="14"/>
      <c r="AI935" s="5"/>
      <c r="AJ935" s="5"/>
      <c r="AM935" s="26"/>
    </row>
    <row r="936" spans="1:39" x14ac:dyDescent="0.2">
      <c r="A936" s="11"/>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92"/>
    </row>
  </sheetData>
  <hyperlinks>
    <hyperlink ref="J79" r:id="rId1"/>
  </hyperlinks>
  <pageMargins left="0.7" right="0.7" top="0.75" bottom="0.75" header="0.3" footer="0.3"/>
  <pageSetup paperSize="9" scale="2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72"/>
  <sheetViews>
    <sheetView topLeftCell="X1" zoomScaleNormal="100" workbookViewId="0">
      <selection activeCell="J73" sqref="J73"/>
    </sheetView>
  </sheetViews>
  <sheetFormatPr defaultRowHeight="12.75" x14ac:dyDescent="0.2"/>
  <cols>
    <col min="1" max="1" width="8.5703125"/>
    <col min="2" max="2" width="11.140625"/>
    <col min="3" max="16" width="8.5703125"/>
    <col min="17" max="17" width="18.5703125"/>
    <col min="18" max="22" width="8.5703125"/>
    <col min="23" max="23" width="28.85546875"/>
    <col min="24" max="1025" width="8.5703125"/>
  </cols>
  <sheetData>
    <row r="2" spans="1:42" x14ac:dyDescent="0.2">
      <c r="B2" t="s">
        <v>518</v>
      </c>
      <c r="C2">
        <v>1</v>
      </c>
    </row>
    <row r="4" spans="1:42" x14ac:dyDescent="0.2">
      <c r="B4" t="s">
        <v>104</v>
      </c>
      <c r="C4" s="250">
        <f>'New KR'!B10</f>
        <v>1</v>
      </c>
      <c r="D4" s="251" t="e">
        <f>choice</f>
        <v>#NAME?</v>
      </c>
      <c r="F4">
        <v>1</v>
      </c>
      <c r="G4">
        <v>1</v>
      </c>
    </row>
    <row r="5" spans="1:42" x14ac:dyDescent="0.2">
      <c r="B5" t="s">
        <v>519</v>
      </c>
      <c r="F5">
        <v>2</v>
      </c>
      <c r="G5">
        <v>1</v>
      </c>
    </row>
    <row r="6" spans="1:42" x14ac:dyDescent="0.2">
      <c r="B6" t="s">
        <v>520</v>
      </c>
      <c r="F6">
        <v>3</v>
      </c>
      <c r="G6">
        <v>3</v>
      </c>
    </row>
    <row r="7" spans="1:42" x14ac:dyDescent="0.2">
      <c r="B7" s="40" t="s">
        <v>521</v>
      </c>
      <c r="F7">
        <v>7</v>
      </c>
    </row>
    <row r="8" spans="1:42" x14ac:dyDescent="0.2">
      <c r="B8" t="s">
        <v>522</v>
      </c>
      <c r="F8">
        <v>4</v>
      </c>
      <c r="G8">
        <v>2</v>
      </c>
    </row>
    <row r="9" spans="1:42" x14ac:dyDescent="0.2">
      <c r="B9" t="s">
        <v>523</v>
      </c>
      <c r="F9">
        <v>5</v>
      </c>
      <c r="G9">
        <v>4</v>
      </c>
      <c r="S9" t="e">
        <f>R11-28</f>
        <v>#N/A</v>
      </c>
      <c r="AK9">
        <f>'New KR'!C4</f>
        <v>2</v>
      </c>
    </row>
    <row r="10" spans="1:42" x14ac:dyDescent="0.2">
      <c r="B10" t="s">
        <v>524</v>
      </c>
      <c r="F10">
        <v>6</v>
      </c>
      <c r="K10" s="252" t="s">
        <v>525</v>
      </c>
      <c r="L10" t="s">
        <v>526</v>
      </c>
      <c r="M10" s="253" t="s">
        <v>525</v>
      </c>
      <c r="N10" t="s">
        <v>385</v>
      </c>
      <c r="Q10" s="254" t="s">
        <v>527</v>
      </c>
      <c r="S10" s="255" t="s">
        <v>528</v>
      </c>
      <c r="Y10" s="254" t="s">
        <v>226</v>
      </c>
      <c r="AA10">
        <f>'New KR'!B86</f>
        <v>0</v>
      </c>
      <c r="AM10" s="256" t="s">
        <v>529</v>
      </c>
      <c r="AN10" s="256" t="s">
        <v>530</v>
      </c>
      <c r="AO10" s="256" t="s">
        <v>511</v>
      </c>
      <c r="AP10" s="256" t="s">
        <v>531</v>
      </c>
    </row>
    <row r="11" spans="1:42" ht="15" x14ac:dyDescent="0.2">
      <c r="A11">
        <v>1</v>
      </c>
      <c r="B11" s="252" t="s">
        <v>532</v>
      </c>
      <c r="C11" s="257">
        <f>'New KR'!C4</f>
        <v>2</v>
      </c>
      <c r="D11" s="251" t="e">
        <f>choice</f>
        <v>#NAME?</v>
      </c>
      <c r="K11" t="s">
        <v>533</v>
      </c>
      <c r="L11" s="250">
        <f>'New KR'!C58</f>
        <v>0</v>
      </c>
      <c r="M11" t="s">
        <v>493</v>
      </c>
      <c r="N11">
        <v>1</v>
      </c>
      <c r="Q11" t="s">
        <v>534</v>
      </c>
      <c r="R11" t="e">
        <f>'New KR'!B67</f>
        <v>#N/A</v>
      </c>
      <c r="S11" t="e">
        <f>R11-28</f>
        <v>#N/A</v>
      </c>
      <c r="Y11" t="s">
        <v>226</v>
      </c>
      <c r="AK11">
        <v>1</v>
      </c>
      <c r="AL11" s="252" t="s">
        <v>532</v>
      </c>
      <c r="AM11" s="256" t="s">
        <v>535</v>
      </c>
      <c r="AN11" s="256">
        <v>1750</v>
      </c>
      <c r="AO11" s="256" t="s">
        <v>536</v>
      </c>
      <c r="AP11" s="258">
        <v>3.3000000000000002E-2</v>
      </c>
    </row>
    <row r="12" spans="1:42" ht="15" x14ac:dyDescent="0.2">
      <c r="A12">
        <v>2</v>
      </c>
      <c r="B12" s="252" t="s">
        <v>78</v>
      </c>
      <c r="K12" t="s">
        <v>537</v>
      </c>
      <c r="M12" t="s">
        <v>111</v>
      </c>
      <c r="Q12" t="s">
        <v>538</v>
      </c>
      <c r="Y12" t="s">
        <v>227</v>
      </c>
      <c r="AK12">
        <v>2</v>
      </c>
      <c r="AL12" s="252" t="s">
        <v>78</v>
      </c>
      <c r="AM12" s="256" t="s">
        <v>539</v>
      </c>
      <c r="AN12" s="256">
        <v>1750</v>
      </c>
      <c r="AO12" s="256" t="s">
        <v>536</v>
      </c>
      <c r="AP12" s="258">
        <v>3.3000000000000002E-2</v>
      </c>
    </row>
    <row r="13" spans="1:42" ht="15" x14ac:dyDescent="0.2">
      <c r="A13">
        <v>3</v>
      </c>
      <c r="B13" s="252" t="s">
        <v>540</v>
      </c>
      <c r="K13" t="s">
        <v>541</v>
      </c>
      <c r="M13" t="s">
        <v>495</v>
      </c>
      <c r="Q13" s="40" t="s">
        <v>542</v>
      </c>
      <c r="S13" s="259">
        <f>IF(C4=5,(IF(AND(R11&gt;1,S16=0,R11&lt;33),1,0)),0)</f>
        <v>0</v>
      </c>
      <c r="T13" t="s">
        <v>543</v>
      </c>
      <c r="AK13">
        <v>3</v>
      </c>
      <c r="AL13" s="252" t="s">
        <v>540</v>
      </c>
      <c r="AM13" s="256" t="s">
        <v>544</v>
      </c>
      <c r="AN13" s="256">
        <v>1750</v>
      </c>
      <c r="AO13" s="256" t="s">
        <v>545</v>
      </c>
      <c r="AP13" s="260">
        <v>0.2461410285741</v>
      </c>
    </row>
    <row r="14" spans="1:42" ht="15" x14ac:dyDescent="0.2">
      <c r="A14">
        <v>4</v>
      </c>
      <c r="B14" s="252" t="s">
        <v>546</v>
      </c>
      <c r="K14" t="s">
        <v>547</v>
      </c>
      <c r="M14" t="s">
        <v>496</v>
      </c>
      <c r="Q14" s="40" t="s">
        <v>548</v>
      </c>
      <c r="AK14">
        <v>4</v>
      </c>
      <c r="AL14" s="252" t="s">
        <v>546</v>
      </c>
      <c r="AM14" s="256" t="s">
        <v>549</v>
      </c>
      <c r="AN14" s="256">
        <v>1750</v>
      </c>
      <c r="AO14" s="256" t="s">
        <v>536</v>
      </c>
      <c r="AP14" s="258">
        <v>3.3000000000000002E-2</v>
      </c>
    </row>
    <row r="15" spans="1:42" ht="15" x14ac:dyDescent="0.2">
      <c r="A15">
        <v>5</v>
      </c>
      <c r="B15" s="252" t="s">
        <v>550</v>
      </c>
      <c r="K15" t="s">
        <v>493</v>
      </c>
      <c r="M15" t="s">
        <v>497</v>
      </c>
      <c r="Q15" s="40" t="s">
        <v>551</v>
      </c>
      <c r="AK15">
        <v>5</v>
      </c>
      <c r="AL15" s="252" t="s">
        <v>550</v>
      </c>
      <c r="AM15" s="256" t="s">
        <v>552</v>
      </c>
      <c r="AN15" s="256">
        <v>1750</v>
      </c>
      <c r="AO15" s="256" t="s">
        <v>536</v>
      </c>
      <c r="AP15" s="258">
        <v>3.3000000000000002E-2</v>
      </c>
    </row>
    <row r="16" spans="1:42" ht="15" x14ac:dyDescent="0.2">
      <c r="A16">
        <v>6</v>
      </c>
      <c r="B16" s="252" t="s">
        <v>553</v>
      </c>
      <c r="K16" t="s">
        <v>494</v>
      </c>
      <c r="M16" t="s">
        <v>498</v>
      </c>
      <c r="Q16" s="40" t="s">
        <v>554</v>
      </c>
      <c r="S16" t="e">
        <f>IF(R11=0,1,0)</f>
        <v>#N/A</v>
      </c>
      <c r="AK16">
        <v>6</v>
      </c>
      <c r="AL16" s="252" t="s">
        <v>553</v>
      </c>
      <c r="AM16" s="256" t="s">
        <v>555</v>
      </c>
      <c r="AN16" s="256">
        <v>1750</v>
      </c>
      <c r="AO16" s="256" t="s">
        <v>536</v>
      </c>
      <c r="AP16" s="258">
        <v>3.3000000000000002E-2</v>
      </c>
    </row>
    <row r="17" spans="1:42" ht="15" x14ac:dyDescent="0.2">
      <c r="A17">
        <v>7</v>
      </c>
      <c r="B17" s="252" t="s">
        <v>556</v>
      </c>
      <c r="K17" t="s">
        <v>111</v>
      </c>
      <c r="M17" t="s">
        <v>499</v>
      </c>
      <c r="Q17" s="40" t="s">
        <v>557</v>
      </c>
      <c r="S17">
        <f>IF(C4=5,(IF(R11&gt;1,1,0)),0)</f>
        <v>0</v>
      </c>
      <c r="AK17">
        <v>7</v>
      </c>
      <c r="AL17" s="252" t="s">
        <v>556</v>
      </c>
      <c r="AM17" s="256" t="s">
        <v>558</v>
      </c>
      <c r="AN17" s="256">
        <v>1750</v>
      </c>
      <c r="AO17" s="256" t="s">
        <v>536</v>
      </c>
      <c r="AP17" s="258">
        <v>3.3000000000000002E-2</v>
      </c>
    </row>
    <row r="18" spans="1:42" ht="15" x14ac:dyDescent="0.2">
      <c r="A18">
        <v>8</v>
      </c>
      <c r="B18" s="252" t="s">
        <v>559</v>
      </c>
      <c r="K18" t="s">
        <v>495</v>
      </c>
      <c r="M18" t="s">
        <v>500</v>
      </c>
      <c r="Q18" s="40" t="s">
        <v>560</v>
      </c>
      <c r="AK18">
        <v>8</v>
      </c>
      <c r="AL18" s="252" t="s">
        <v>559</v>
      </c>
      <c r="AM18" s="256" t="s">
        <v>561</v>
      </c>
      <c r="AN18" s="256">
        <v>1750</v>
      </c>
      <c r="AO18" s="256" t="s">
        <v>536</v>
      </c>
      <c r="AP18" s="258">
        <v>3.3000000000000002E-2</v>
      </c>
    </row>
    <row r="19" spans="1:42" ht="15" x14ac:dyDescent="0.2">
      <c r="A19">
        <v>9</v>
      </c>
      <c r="B19" s="252" t="s">
        <v>562</v>
      </c>
      <c r="K19" t="s">
        <v>496</v>
      </c>
      <c r="M19" t="s">
        <v>563</v>
      </c>
      <c r="Q19" s="40" t="s">
        <v>564</v>
      </c>
      <c r="AK19">
        <v>9</v>
      </c>
      <c r="AL19" s="252" t="s">
        <v>562</v>
      </c>
      <c r="AM19" s="256" t="s">
        <v>565</v>
      </c>
      <c r="AN19" s="256">
        <v>1750</v>
      </c>
      <c r="AO19" s="256" t="s">
        <v>536</v>
      </c>
      <c r="AP19" s="258">
        <v>3.3000000000000002E-2</v>
      </c>
    </row>
    <row r="20" spans="1:42" ht="15" x14ac:dyDescent="0.2">
      <c r="A20">
        <v>10</v>
      </c>
      <c r="B20" s="252" t="s">
        <v>566</v>
      </c>
      <c r="K20" t="s">
        <v>497</v>
      </c>
      <c r="M20" t="s">
        <v>567</v>
      </c>
      <c r="Q20" s="40" t="s">
        <v>568</v>
      </c>
      <c r="AK20">
        <v>10</v>
      </c>
      <c r="AL20" s="252" t="s">
        <v>566</v>
      </c>
      <c r="AM20" s="256" t="s">
        <v>569</v>
      </c>
      <c r="AN20" s="256">
        <v>1750</v>
      </c>
      <c r="AO20" s="256" t="s">
        <v>536</v>
      </c>
      <c r="AP20" s="258">
        <v>3.3000000000000002E-2</v>
      </c>
    </row>
    <row r="21" spans="1:42" ht="15" x14ac:dyDescent="0.2">
      <c r="A21">
        <v>11</v>
      </c>
      <c r="B21" s="252" t="s">
        <v>570</v>
      </c>
      <c r="K21" t="s">
        <v>498</v>
      </c>
      <c r="M21" t="s">
        <v>571</v>
      </c>
      <c r="Q21" s="40" t="s">
        <v>572</v>
      </c>
      <c r="AK21">
        <v>11</v>
      </c>
      <c r="AL21" s="252" t="s">
        <v>570</v>
      </c>
      <c r="AM21" s="256" t="s">
        <v>573</v>
      </c>
      <c r="AN21" s="256">
        <v>1750</v>
      </c>
      <c r="AO21" s="256" t="s">
        <v>574</v>
      </c>
      <c r="AP21" s="260">
        <v>0.30504629629629598</v>
      </c>
    </row>
    <row r="22" spans="1:42" ht="15" x14ac:dyDescent="0.2">
      <c r="A22">
        <v>12</v>
      </c>
      <c r="B22" s="252" t="s">
        <v>575</v>
      </c>
      <c r="K22" t="s">
        <v>499</v>
      </c>
      <c r="M22" t="s">
        <v>576</v>
      </c>
      <c r="Q22" s="40" t="s">
        <v>577</v>
      </c>
      <c r="AK22">
        <v>12</v>
      </c>
      <c r="AL22" s="252" t="s">
        <v>575</v>
      </c>
      <c r="AM22" s="256" t="s">
        <v>578</v>
      </c>
      <c r="AN22" s="256">
        <v>1750</v>
      </c>
      <c r="AO22" s="256" t="s">
        <v>579</v>
      </c>
      <c r="AP22" s="260">
        <v>3.5087962962963001E-2</v>
      </c>
    </row>
    <row r="23" spans="1:42" ht="15" x14ac:dyDescent="0.2">
      <c r="A23">
        <v>13</v>
      </c>
      <c r="B23" s="252" t="s">
        <v>580</v>
      </c>
      <c r="F23">
        <f>IF(AND(C4=7,C11=4),1,IF(AND(C4=7,C11=12),1,0))</f>
        <v>0</v>
      </c>
      <c r="G23" s="261" t="s">
        <v>581</v>
      </c>
      <c r="K23" t="s">
        <v>500</v>
      </c>
      <c r="M23" t="s">
        <v>582</v>
      </c>
      <c r="Q23" s="40" t="s">
        <v>583</v>
      </c>
      <c r="AK23">
        <v>13</v>
      </c>
      <c r="AL23" s="252" t="s">
        <v>580</v>
      </c>
      <c r="AM23" s="256" t="s">
        <v>584</v>
      </c>
      <c r="AN23" s="256">
        <v>1750</v>
      </c>
      <c r="AO23" s="256" t="s">
        <v>585</v>
      </c>
      <c r="AP23" s="260">
        <v>2.3884259259259299E-2</v>
      </c>
    </row>
    <row r="24" spans="1:42" x14ac:dyDescent="0.2">
      <c r="A24">
        <v>14</v>
      </c>
      <c r="B24" s="252" t="s">
        <v>360</v>
      </c>
      <c r="K24" t="s">
        <v>563</v>
      </c>
      <c r="M24" t="s">
        <v>586</v>
      </c>
      <c r="R24" s="262"/>
      <c r="S24" s="263"/>
      <c r="T24" s="263"/>
      <c r="U24" s="263"/>
      <c r="V24" s="263"/>
      <c r="W24" s="263"/>
      <c r="X24" s="263"/>
      <c r="Y24" s="263"/>
      <c r="Z24" s="263"/>
      <c r="AA24" s="263"/>
      <c r="AB24" s="263"/>
      <c r="AC24" s="263"/>
      <c r="AD24" s="263"/>
      <c r="AE24" s="263"/>
      <c r="AF24" s="263"/>
      <c r="AG24" s="263"/>
      <c r="AH24" s="263"/>
      <c r="AI24" s="264"/>
      <c r="AK24">
        <v>14</v>
      </c>
      <c r="AL24" s="252" t="s">
        <v>360</v>
      </c>
      <c r="AM24" s="265" t="s">
        <v>48</v>
      </c>
      <c r="AN24" s="265" t="s">
        <v>48</v>
      </c>
      <c r="AO24" s="265" t="s">
        <v>48</v>
      </c>
      <c r="AP24" s="265" t="s">
        <v>48</v>
      </c>
    </row>
    <row r="25" spans="1:42" x14ac:dyDescent="0.2">
      <c r="A25">
        <v>15</v>
      </c>
      <c r="B25" s="252" t="s">
        <v>587</v>
      </c>
      <c r="C25">
        <f>C11+1</f>
        <v>3</v>
      </c>
      <c r="D25" t="s">
        <v>588</v>
      </c>
      <c r="K25" t="s">
        <v>567</v>
      </c>
      <c r="M25" t="s">
        <v>106</v>
      </c>
      <c r="R25" s="266"/>
      <c r="S25" s="48" t="s">
        <v>589</v>
      </c>
      <c r="T25" s="267"/>
      <c r="U25" s="267">
        <v>0</v>
      </c>
      <c r="V25" s="48"/>
      <c r="W25" s="48"/>
      <c r="X25" s="48"/>
      <c r="Y25" s="267"/>
      <c r="Z25" s="267"/>
      <c r="AA25" s="267"/>
      <c r="AB25" s="267"/>
      <c r="AC25" s="267"/>
      <c r="AD25" s="267"/>
      <c r="AE25" s="267"/>
      <c r="AF25" s="267"/>
      <c r="AG25" s="267"/>
      <c r="AH25" s="267"/>
      <c r="AI25" s="268"/>
      <c r="AK25">
        <v>15</v>
      </c>
      <c r="AL25" s="252" t="s">
        <v>587</v>
      </c>
      <c r="AM25" s="265" t="s">
        <v>48</v>
      </c>
      <c r="AN25" s="265" t="s">
        <v>48</v>
      </c>
      <c r="AO25" s="265" t="s">
        <v>48</v>
      </c>
      <c r="AP25" s="265" t="s">
        <v>48</v>
      </c>
    </row>
    <row r="26" spans="1:42" x14ac:dyDescent="0.2">
      <c r="C26">
        <f>C11+1+13</f>
        <v>16</v>
      </c>
      <c r="D26" t="s">
        <v>590</v>
      </c>
      <c r="K26" t="s">
        <v>591</v>
      </c>
      <c r="M26" t="s">
        <v>592</v>
      </c>
      <c r="R26" s="266" t="str">
        <f>'New KR'!C100</f>
        <v>NA</v>
      </c>
      <c r="S26" s="48">
        <f>'New KR'!B100</f>
        <v>0</v>
      </c>
      <c r="T26" s="267"/>
      <c r="U26" s="267">
        <v>1</v>
      </c>
      <c r="V26" s="48" t="s">
        <v>593</v>
      </c>
      <c r="W26" s="267" t="s">
        <v>594</v>
      </c>
      <c r="X26" s="100" t="s">
        <v>595</v>
      </c>
      <c r="Y26" s="48" t="s">
        <v>596</v>
      </c>
      <c r="Z26" s="267"/>
      <c r="AA26" s="267"/>
      <c r="AB26" s="267"/>
      <c r="AC26" s="267"/>
      <c r="AD26" s="267"/>
      <c r="AE26" s="267"/>
      <c r="AF26" s="267"/>
      <c r="AG26" s="267"/>
      <c r="AH26" s="267"/>
      <c r="AI26" s="268"/>
    </row>
    <row r="27" spans="1:42" x14ac:dyDescent="0.2">
      <c r="B27" t="s">
        <v>597</v>
      </c>
      <c r="C27" s="269">
        <f>IF(C4=1,36,IF(C4=2,36,IF(C4=3,C25,IF(C4=4,C26,IF(C4=5,C26+S11,IF(C4=6,39,IF(F23=1,40)))))))</f>
        <v>36</v>
      </c>
      <c r="D27" t="s">
        <v>598</v>
      </c>
      <c r="K27" t="s">
        <v>571</v>
      </c>
      <c r="M27" t="s">
        <v>599</v>
      </c>
      <c r="R27" s="266"/>
      <c r="S27" s="267"/>
      <c r="T27" s="267"/>
      <c r="U27" s="267">
        <v>2</v>
      </c>
      <c r="V27" s="48" t="s">
        <v>600</v>
      </c>
      <c r="W27" s="267" t="s">
        <v>601</v>
      </c>
      <c r="X27" s="100" t="s">
        <v>602</v>
      </c>
      <c r="Y27" s="48" t="s">
        <v>603</v>
      </c>
      <c r="Z27" s="267"/>
      <c r="AA27" s="267"/>
      <c r="AB27" s="267"/>
      <c r="AC27" s="267"/>
      <c r="AD27" s="267"/>
      <c r="AE27" s="267"/>
      <c r="AF27" s="267"/>
      <c r="AG27" s="267"/>
      <c r="AH27" s="267"/>
      <c r="AI27" s="268"/>
    </row>
    <row r="28" spans="1:42" x14ac:dyDescent="0.2">
      <c r="A28" s="270" t="s">
        <v>604</v>
      </c>
      <c r="K28" t="s">
        <v>605</v>
      </c>
      <c r="M28" t="s">
        <v>606</v>
      </c>
      <c r="R28" s="266"/>
      <c r="S28" s="267"/>
      <c r="T28" s="267"/>
      <c r="U28" s="267"/>
      <c r="V28" s="267"/>
      <c r="W28" s="267"/>
      <c r="X28" s="267"/>
      <c r="Y28" s="267"/>
      <c r="Z28" s="267"/>
      <c r="AA28" s="267"/>
      <c r="AB28" s="267"/>
      <c r="AC28" s="267"/>
      <c r="AD28" s="267"/>
      <c r="AE28" s="267"/>
      <c r="AF28" s="267"/>
      <c r="AG28" s="267"/>
      <c r="AH28" s="267"/>
      <c r="AI28" s="268"/>
      <c r="AL28" s="271" t="s">
        <v>607</v>
      </c>
      <c r="AM28" t="str">
        <f>VLOOKUP(AK9,AK11:AP25,3,0)</f>
        <v>BE_WAB_UBB_1750MB_Standard</v>
      </c>
    </row>
    <row r="29" spans="1:42" x14ac:dyDescent="0.2">
      <c r="K29" t="s">
        <v>576</v>
      </c>
      <c r="M29" t="s">
        <v>608</v>
      </c>
      <c r="R29" s="266"/>
      <c r="S29" s="267"/>
      <c r="T29" s="267"/>
      <c r="U29" s="267"/>
      <c r="V29" s="267"/>
      <c r="W29" s="267"/>
      <c r="X29" s="267"/>
      <c r="Y29" s="267"/>
      <c r="Z29" s="267"/>
      <c r="AA29" s="267"/>
      <c r="AB29" s="267"/>
      <c r="AC29" s="267"/>
      <c r="AD29" s="267"/>
      <c r="AE29" s="267"/>
      <c r="AF29" s="267"/>
      <c r="AG29" s="267"/>
      <c r="AH29" s="267"/>
      <c r="AI29" s="268"/>
      <c r="AL29" s="271" t="s">
        <v>609</v>
      </c>
      <c r="AM29" t="str">
        <f>VLOOKUP(AK9,AK11:AP25,5,0)</f>
        <v>EUR</v>
      </c>
    </row>
    <row r="30" spans="1:42" x14ac:dyDescent="0.2">
      <c r="B30" s="251" t="str">
        <f>INDEX('back-Bandwidths'!C4:AT4,1,$C$27)</f>
        <v>64K</v>
      </c>
      <c r="C30" s="270" t="s">
        <v>610</v>
      </c>
      <c r="H30" s="250">
        <f>'New KR'!C14</f>
        <v>30</v>
      </c>
      <c r="I30" s="251" t="e">
        <f>choice</f>
        <v>#NAME?</v>
      </c>
      <c r="K30" t="s">
        <v>611</v>
      </c>
      <c r="M30" t="s">
        <v>612</v>
      </c>
      <c r="R30" s="266"/>
      <c r="S30" s="267"/>
      <c r="T30" s="267"/>
      <c r="U30" s="267"/>
      <c r="V30" s="267"/>
      <c r="W30" s="267"/>
      <c r="X30" s="267"/>
      <c r="Y30" s="267"/>
      <c r="Z30" s="267"/>
      <c r="AA30" s="267"/>
      <c r="AB30" s="267"/>
      <c r="AC30" s="267"/>
      <c r="AD30" s="267"/>
      <c r="AE30" s="267"/>
      <c r="AF30" s="267"/>
      <c r="AG30" s="267"/>
      <c r="AH30" s="267"/>
      <c r="AI30" s="268"/>
      <c r="AL30" s="271" t="s">
        <v>613</v>
      </c>
      <c r="AM30">
        <f>VLOOKUP(AK9,AK11:AP25,6,0)</f>
        <v>3.3000000000000002E-2</v>
      </c>
    </row>
    <row r="31" spans="1:42" x14ac:dyDescent="0.2">
      <c r="B31" s="251" t="str">
        <f>INDEX('back-Bandwidths'!C5:AT5,1,$C$27)</f>
        <v>128K</v>
      </c>
      <c r="K31" t="s">
        <v>582</v>
      </c>
      <c r="M31" t="s">
        <v>614</v>
      </c>
      <c r="R31" s="266"/>
      <c r="S31" s="267"/>
      <c r="T31" s="267"/>
      <c r="U31" s="267"/>
      <c r="V31" s="267"/>
      <c r="W31" s="267"/>
      <c r="X31" s="267"/>
      <c r="Y31" s="267"/>
      <c r="Z31" s="267"/>
      <c r="AA31" s="267"/>
      <c r="AB31" s="267"/>
      <c r="AC31" s="267"/>
      <c r="AD31" s="267"/>
      <c r="AE31" s="267"/>
      <c r="AF31" s="267"/>
      <c r="AG31" s="267"/>
      <c r="AH31" s="267"/>
      <c r="AI31" s="268"/>
    </row>
    <row r="32" spans="1:42" x14ac:dyDescent="0.2">
      <c r="B32" s="251" t="str">
        <f>INDEX('back-Bandwidths'!C6:AT6,1,$C$27)</f>
        <v>256K</v>
      </c>
      <c r="K32" t="s">
        <v>615</v>
      </c>
      <c r="M32" t="s">
        <v>119</v>
      </c>
      <c r="R32" s="266"/>
      <c r="S32" s="267">
        <f>VLOOKUP(S26,U25:X27,2,0)</f>
        <v>0</v>
      </c>
      <c r="T32" s="267"/>
      <c r="U32" s="267"/>
      <c r="V32" s="267"/>
      <c r="W32" s="267"/>
      <c r="X32" s="267"/>
      <c r="Y32" s="267"/>
      <c r="Z32" s="267"/>
      <c r="AA32" s="267"/>
      <c r="AB32" s="267"/>
      <c r="AC32" s="267"/>
      <c r="AD32" s="267"/>
      <c r="AE32" s="267"/>
      <c r="AF32" s="267"/>
      <c r="AG32" s="267"/>
      <c r="AH32" s="267"/>
      <c r="AI32" s="268"/>
    </row>
    <row r="33" spans="2:35" x14ac:dyDescent="0.2">
      <c r="B33" s="251" t="str">
        <f>INDEX('back-Bandwidths'!C7:AT7,1,$C$27)</f>
        <v>512K</v>
      </c>
      <c r="K33" t="s">
        <v>586</v>
      </c>
      <c r="M33" t="s">
        <v>616</v>
      </c>
      <c r="R33" s="266"/>
      <c r="S33" s="267">
        <f>VLOOKUP(S26,U25:X27,3,0)</f>
        <v>0</v>
      </c>
      <c r="T33" s="267"/>
      <c r="U33" s="267"/>
      <c r="V33" s="267"/>
      <c r="W33" s="267"/>
      <c r="X33" s="267"/>
      <c r="Y33" s="267"/>
      <c r="Z33" s="267"/>
      <c r="AA33" s="267"/>
      <c r="AB33" s="267"/>
      <c r="AC33" s="267"/>
      <c r="AD33" s="267"/>
      <c r="AE33" s="267"/>
      <c r="AF33" s="267"/>
      <c r="AG33" s="267"/>
      <c r="AH33" s="267"/>
      <c r="AI33" s="268"/>
    </row>
    <row r="34" spans="2:35" x14ac:dyDescent="0.2">
      <c r="B34" s="251" t="str">
        <f>INDEX('back-Bandwidths'!C8:AT8,1,$C$27)</f>
        <v>1M</v>
      </c>
      <c r="K34" t="s">
        <v>617</v>
      </c>
      <c r="M34" t="s">
        <v>618</v>
      </c>
      <c r="R34" s="266"/>
      <c r="S34" s="267">
        <f>VLOOKUP(S26,U25:X27,4,0)</f>
        <v>0</v>
      </c>
      <c r="T34" s="267"/>
      <c r="U34" s="267"/>
      <c r="V34" s="267"/>
      <c r="W34" s="267"/>
      <c r="X34" s="267"/>
      <c r="Y34" s="267"/>
      <c r="Z34" s="267"/>
      <c r="AA34" s="267"/>
      <c r="AB34" s="267"/>
      <c r="AC34" s="267"/>
      <c r="AD34" s="267"/>
      <c r="AE34" s="267"/>
      <c r="AF34" s="267"/>
      <c r="AG34" s="267"/>
      <c r="AH34" s="267"/>
      <c r="AI34" s="268"/>
    </row>
    <row r="35" spans="2:35" x14ac:dyDescent="0.2">
      <c r="B35" s="251" t="str">
        <f>INDEX('back-Bandwidths'!C9:AT9,1,$C$27)</f>
        <v>1.5M</v>
      </c>
      <c r="K35" t="s">
        <v>106</v>
      </c>
      <c r="M35" t="s">
        <v>619</v>
      </c>
      <c r="R35" s="266"/>
      <c r="S35" s="267">
        <f>VLOOKUP(S26,U25:Y27,5,0)</f>
        <v>0</v>
      </c>
      <c r="T35" s="267"/>
      <c r="U35" s="267"/>
      <c r="V35" s="267"/>
      <c r="W35" s="267"/>
      <c r="X35" s="267"/>
      <c r="Y35" s="267"/>
      <c r="Z35" s="267"/>
      <c r="AA35" s="267"/>
      <c r="AB35" s="267"/>
      <c r="AC35" s="267"/>
      <c r="AD35" s="267"/>
      <c r="AE35" s="267"/>
      <c r="AF35" s="267"/>
      <c r="AG35" s="267"/>
      <c r="AH35" s="267"/>
      <c r="AI35" s="268"/>
    </row>
    <row r="36" spans="2:35" x14ac:dyDescent="0.2">
      <c r="B36" s="251" t="str">
        <f>INDEX('back-Bandwidths'!C10:AT10,1,$C$27)</f>
        <v>2M</v>
      </c>
      <c r="K36" t="s">
        <v>620</v>
      </c>
      <c r="M36" t="s">
        <v>120</v>
      </c>
      <c r="R36" s="266"/>
      <c r="S36" s="267"/>
      <c r="T36" s="267"/>
      <c r="U36" s="267"/>
      <c r="V36" s="267"/>
      <c r="W36" s="267"/>
      <c r="X36" s="267"/>
      <c r="Y36" s="267"/>
      <c r="Z36" s="267"/>
      <c r="AA36" s="267"/>
      <c r="AB36" s="267"/>
      <c r="AC36" s="267"/>
      <c r="AD36" s="267"/>
      <c r="AE36" s="267"/>
      <c r="AF36" s="267"/>
      <c r="AG36" s="267"/>
      <c r="AH36" s="267"/>
      <c r="AI36" s="268"/>
    </row>
    <row r="37" spans="2:35" x14ac:dyDescent="0.2">
      <c r="B37" s="251" t="str">
        <f>INDEX('back-Bandwidths'!C11:AT11,1,$C$27)</f>
        <v>3M</v>
      </c>
      <c r="K37" t="s">
        <v>612</v>
      </c>
      <c r="M37" t="s">
        <v>621</v>
      </c>
      <c r="R37" s="266"/>
      <c r="S37" s="267"/>
      <c r="T37" s="267"/>
      <c r="U37" s="48" t="s">
        <v>622</v>
      </c>
      <c r="V37" s="267"/>
      <c r="W37" s="267"/>
      <c r="X37" s="267"/>
      <c r="Y37" s="267"/>
      <c r="Z37" s="267"/>
      <c r="AA37" s="267"/>
      <c r="AB37" s="267"/>
      <c r="AC37" s="267"/>
      <c r="AD37" s="267"/>
      <c r="AE37" s="267"/>
      <c r="AF37" s="267"/>
      <c r="AG37" s="267"/>
      <c r="AH37" s="267"/>
      <c r="AI37" s="268"/>
    </row>
    <row r="38" spans="2:35" x14ac:dyDescent="0.2">
      <c r="B38" s="251" t="str">
        <f>INDEX('back-Bandwidths'!C12:AT12,1,$C$27)</f>
        <v>4M</v>
      </c>
      <c r="K38" t="s">
        <v>119</v>
      </c>
      <c r="M38" t="s">
        <v>623</v>
      </c>
      <c r="R38" s="266"/>
      <c r="S38" s="267"/>
      <c r="T38" s="267"/>
      <c r="U38" s="267">
        <v>0</v>
      </c>
      <c r="V38" s="267"/>
      <c r="W38" s="267"/>
      <c r="X38" s="267"/>
      <c r="Y38" s="267"/>
      <c r="Z38" s="267"/>
      <c r="AA38" s="267"/>
      <c r="AB38" s="267"/>
      <c r="AC38" s="267"/>
      <c r="AD38" s="267"/>
      <c r="AE38" s="267"/>
      <c r="AF38" s="267"/>
      <c r="AG38" s="267"/>
      <c r="AH38" s="267"/>
      <c r="AI38" s="268"/>
    </row>
    <row r="39" spans="2:35" x14ac:dyDescent="0.2">
      <c r="B39" s="251" t="str">
        <f>INDEX('back-Bandwidths'!C13:AT13,1,$C$27)</f>
        <v>5M</v>
      </c>
      <c r="M39" t="s">
        <v>624</v>
      </c>
      <c r="R39" s="266"/>
      <c r="S39" s="267"/>
      <c r="T39" s="267">
        <f>'New KR'!B100</f>
        <v>0</v>
      </c>
      <c r="U39" s="267">
        <v>100</v>
      </c>
      <c r="V39" s="48"/>
      <c r="W39" s="267"/>
      <c r="X39" s="48" t="s">
        <v>625</v>
      </c>
      <c r="Y39" s="267"/>
      <c r="Z39" s="267"/>
      <c r="AA39" s="267"/>
      <c r="AB39" s="267"/>
      <c r="AC39" s="267"/>
      <c r="AD39" s="267"/>
      <c r="AE39" s="267"/>
      <c r="AF39" s="267"/>
      <c r="AG39" s="267"/>
      <c r="AH39" s="267"/>
      <c r="AI39" s="268"/>
    </row>
    <row r="40" spans="2:35" x14ac:dyDescent="0.2">
      <c r="B40" s="251" t="str">
        <f>INDEX('back-Bandwidths'!C14:AT14,1,$C$27)</f>
        <v>6M</v>
      </c>
      <c r="M40" t="s">
        <v>626</v>
      </c>
      <c r="R40" s="266"/>
      <c r="S40" s="267"/>
      <c r="T40" s="267">
        <f>IF(T39=1,1,(IF(T39=2,3,0)))</f>
        <v>0</v>
      </c>
      <c r="U40" s="267">
        <v>5</v>
      </c>
      <c r="V40" s="48" t="s">
        <v>627</v>
      </c>
      <c r="W40" s="48" t="s">
        <v>628</v>
      </c>
      <c r="X40" s="48" t="s">
        <v>629</v>
      </c>
      <c r="Y40" s="267">
        <f>VLOOKUP(S41,U38:V51,2,0)</f>
        <v>0</v>
      </c>
      <c r="Z40" s="267"/>
      <c r="AA40" s="267"/>
      <c r="AB40" s="267"/>
      <c r="AC40" s="267"/>
      <c r="AD40" s="267"/>
      <c r="AE40" s="267"/>
      <c r="AF40" s="267"/>
      <c r="AG40" s="267"/>
      <c r="AH40" s="267"/>
      <c r="AI40" s="268"/>
    </row>
    <row r="41" spans="2:35" x14ac:dyDescent="0.2">
      <c r="B41" s="251" t="str">
        <f>INDEX('back-Bandwidths'!C15:AT15,1,$C$27)</f>
        <v>7M</v>
      </c>
      <c r="M41" t="s">
        <v>630</v>
      </c>
      <c r="R41" s="272" t="s">
        <v>631</v>
      </c>
      <c r="S41" s="267">
        <f>'New KR'!F105</f>
        <v>0</v>
      </c>
      <c r="T41" s="267"/>
      <c r="U41" s="48">
        <v>105</v>
      </c>
      <c r="V41" s="48" t="s">
        <v>632</v>
      </c>
      <c r="W41" s="48" t="s">
        <v>633</v>
      </c>
      <c r="X41" s="48" t="s">
        <v>634</v>
      </c>
      <c r="Y41" s="267">
        <f>VLOOKUP(S42,U38:V51,2,0)</f>
        <v>0</v>
      </c>
      <c r="Z41" s="267"/>
      <c r="AA41" s="267"/>
      <c r="AB41" s="267"/>
      <c r="AC41" s="267"/>
      <c r="AD41" s="267"/>
      <c r="AE41" s="267"/>
      <c r="AF41" s="267"/>
      <c r="AG41" s="267"/>
      <c r="AH41" s="267"/>
      <c r="AI41" s="268"/>
    </row>
    <row r="42" spans="2:35" x14ac:dyDescent="0.2">
      <c r="B42" s="251" t="str">
        <f>INDEX('back-Bandwidths'!C16:AT16,1,$C$27)</f>
        <v>8M</v>
      </c>
      <c r="M42" t="s">
        <v>635</v>
      </c>
      <c r="R42" s="272" t="s">
        <v>636</v>
      </c>
      <c r="S42" s="267">
        <f>S41+100</f>
        <v>100</v>
      </c>
      <c r="T42" s="267"/>
      <c r="U42" s="267">
        <v>4</v>
      </c>
      <c r="V42" s="48" t="s">
        <v>637</v>
      </c>
      <c r="W42" s="48" t="s">
        <v>638</v>
      </c>
      <c r="X42" s="267"/>
      <c r="Y42" s="267"/>
      <c r="Z42" s="267"/>
      <c r="AA42" s="267"/>
      <c r="AB42" s="267"/>
      <c r="AC42" s="267"/>
      <c r="AD42" s="267"/>
      <c r="AE42" s="267"/>
      <c r="AF42" s="267"/>
      <c r="AG42" s="267"/>
      <c r="AH42" s="267"/>
      <c r="AI42" s="268"/>
    </row>
    <row r="43" spans="2:35" x14ac:dyDescent="0.2">
      <c r="B43" s="251" t="str">
        <f>INDEX('back-Bandwidths'!C17:AT17,1,$C$27)</f>
        <v>9M</v>
      </c>
      <c r="M43" t="s">
        <v>639</v>
      </c>
      <c r="R43" s="266"/>
      <c r="S43" s="267"/>
      <c r="T43" s="267"/>
      <c r="U43" s="48">
        <v>104</v>
      </c>
      <c r="V43" s="48" t="s">
        <v>640</v>
      </c>
      <c r="W43" s="48" t="s">
        <v>641</v>
      </c>
      <c r="X43" s="267"/>
      <c r="Y43" s="267"/>
      <c r="Z43" s="267"/>
      <c r="AA43" s="267"/>
      <c r="AB43" s="267"/>
      <c r="AC43" s="267"/>
      <c r="AD43" s="267"/>
      <c r="AE43" s="267"/>
      <c r="AF43" s="267"/>
      <c r="AG43" s="267"/>
      <c r="AH43" s="267"/>
      <c r="AI43" s="268"/>
    </row>
    <row r="44" spans="2:35" x14ac:dyDescent="0.2">
      <c r="B44" s="251" t="str">
        <f>INDEX('back-Bandwidths'!C18:AT18,1,$C$27)</f>
        <v>10M</v>
      </c>
      <c r="M44" t="s">
        <v>642</v>
      </c>
      <c r="R44" s="266"/>
      <c r="S44" s="267"/>
      <c r="T44" s="267"/>
      <c r="U44" s="48">
        <v>1</v>
      </c>
      <c r="V44" s="48" t="s">
        <v>643</v>
      </c>
      <c r="W44" s="267"/>
      <c r="X44" s="267"/>
      <c r="Y44" s="267"/>
      <c r="Z44" s="267"/>
      <c r="AA44" s="267"/>
      <c r="AB44" s="267"/>
      <c r="AC44" s="267"/>
      <c r="AD44" s="267"/>
      <c r="AE44" s="267"/>
      <c r="AF44" s="267"/>
      <c r="AG44" s="267"/>
      <c r="AH44" s="267"/>
      <c r="AI44" s="268"/>
    </row>
    <row r="45" spans="2:35" x14ac:dyDescent="0.2">
      <c r="B45" s="251" t="str">
        <f>INDEX('back-Bandwidths'!C19:AT19,1,$C$27)</f>
        <v>11M</v>
      </c>
      <c r="M45" t="s">
        <v>644</v>
      </c>
      <c r="R45" s="266"/>
      <c r="S45" s="267"/>
      <c r="T45" s="267"/>
      <c r="U45" s="48">
        <v>101</v>
      </c>
      <c r="V45" s="48" t="s">
        <v>643</v>
      </c>
      <c r="W45" s="267"/>
      <c r="X45" s="267"/>
      <c r="Y45" s="267"/>
      <c r="Z45" s="267"/>
      <c r="AA45" s="267"/>
      <c r="AB45" s="267"/>
      <c r="AC45" s="267"/>
      <c r="AD45" s="267"/>
      <c r="AE45" s="267"/>
      <c r="AF45" s="267"/>
      <c r="AG45" s="267"/>
      <c r="AH45" s="267"/>
      <c r="AI45" s="268"/>
    </row>
    <row r="46" spans="2:35" x14ac:dyDescent="0.2">
      <c r="B46" s="251" t="str">
        <f>INDEX('back-Bandwidths'!C20:AT20,1,$C$27)</f>
        <v>12M</v>
      </c>
      <c r="M46" t="s">
        <v>645</v>
      </c>
      <c r="R46" s="266"/>
      <c r="S46" s="267"/>
      <c r="T46" s="267"/>
      <c r="U46" s="48">
        <v>2</v>
      </c>
      <c r="V46" s="48" t="s">
        <v>643</v>
      </c>
      <c r="W46" s="267"/>
      <c r="X46" s="267"/>
      <c r="Y46" s="267"/>
      <c r="Z46" s="267"/>
      <c r="AA46" s="267"/>
      <c r="AB46" s="267"/>
      <c r="AC46" s="267"/>
      <c r="AD46" s="267"/>
      <c r="AE46" s="267"/>
      <c r="AF46" s="267"/>
      <c r="AG46" s="267"/>
      <c r="AH46" s="267"/>
      <c r="AI46" s="268"/>
    </row>
    <row r="47" spans="2:35" x14ac:dyDescent="0.2">
      <c r="B47" s="251" t="str">
        <f>INDEX('back-Bandwidths'!C21:AT21,1,$C$27)</f>
        <v>13M</v>
      </c>
      <c r="M47" t="s">
        <v>646</v>
      </c>
      <c r="R47" s="266"/>
      <c r="S47" s="267"/>
      <c r="T47" s="267"/>
      <c r="U47" s="48">
        <v>102</v>
      </c>
      <c r="V47" s="48" t="s">
        <v>643</v>
      </c>
      <c r="W47" s="267"/>
      <c r="X47" s="267"/>
      <c r="Y47" s="267"/>
      <c r="Z47" s="267"/>
      <c r="AA47" s="267"/>
      <c r="AB47" s="267"/>
      <c r="AC47" s="267"/>
      <c r="AD47" s="267"/>
      <c r="AE47" s="267"/>
      <c r="AF47" s="267"/>
      <c r="AG47" s="267"/>
      <c r="AH47" s="267"/>
      <c r="AI47" s="268"/>
    </row>
    <row r="48" spans="2:35" x14ac:dyDescent="0.2">
      <c r="B48" s="251" t="str">
        <f>INDEX('back-Bandwidths'!C22:AT22,1,$C$27)</f>
        <v>14M</v>
      </c>
      <c r="M48" t="s">
        <v>647</v>
      </c>
      <c r="R48" s="266"/>
      <c r="S48" s="267"/>
      <c r="T48" s="267"/>
      <c r="U48" s="48">
        <v>3</v>
      </c>
      <c r="V48" s="48" t="s">
        <v>643</v>
      </c>
      <c r="W48" s="267"/>
      <c r="X48" s="267"/>
      <c r="Y48" s="267"/>
      <c r="Z48" s="267"/>
      <c r="AA48" s="267"/>
      <c r="AB48" s="267"/>
      <c r="AC48" s="267"/>
      <c r="AD48" s="267"/>
      <c r="AE48" s="267"/>
      <c r="AF48" s="267"/>
      <c r="AG48" s="267"/>
      <c r="AH48" s="267"/>
      <c r="AI48" s="268"/>
    </row>
    <row r="49" spans="2:35" x14ac:dyDescent="0.2">
      <c r="B49" s="251" t="str">
        <f>INDEX('back-Bandwidths'!C23:AT23,1,$C$27)</f>
        <v>15M</v>
      </c>
      <c r="M49" t="s">
        <v>648</v>
      </c>
      <c r="R49" s="266"/>
      <c r="S49" s="267"/>
      <c r="T49" s="267"/>
      <c r="U49" s="48">
        <v>103</v>
      </c>
      <c r="V49" s="48" t="s">
        <v>643</v>
      </c>
      <c r="W49" s="267"/>
      <c r="X49" s="267"/>
      <c r="Y49" s="267"/>
      <c r="Z49" s="267"/>
      <c r="AA49" s="267"/>
      <c r="AB49" s="267"/>
      <c r="AC49" s="267"/>
      <c r="AD49" s="267"/>
      <c r="AE49" s="267"/>
      <c r="AF49" s="267"/>
      <c r="AG49" s="267"/>
      <c r="AH49" s="267"/>
      <c r="AI49" s="268"/>
    </row>
    <row r="50" spans="2:35" x14ac:dyDescent="0.2">
      <c r="B50" s="251" t="str">
        <f>INDEX('back-Bandwidths'!C24:AT24,1,$C$27)</f>
        <v>16M</v>
      </c>
      <c r="M50" t="s">
        <v>649</v>
      </c>
      <c r="R50" s="266"/>
      <c r="S50" s="267"/>
      <c r="T50" s="267"/>
      <c r="U50" s="48">
        <v>4</v>
      </c>
      <c r="V50" s="48" t="s">
        <v>643</v>
      </c>
      <c r="W50" s="267"/>
      <c r="X50" s="267"/>
      <c r="Y50" s="267"/>
      <c r="Z50" s="267"/>
      <c r="AA50" s="267"/>
      <c r="AB50" s="267"/>
      <c r="AC50" s="267"/>
      <c r="AD50" s="267"/>
      <c r="AE50" s="267"/>
      <c r="AF50" s="267"/>
      <c r="AG50" s="267"/>
      <c r="AH50" s="267"/>
      <c r="AI50" s="268"/>
    </row>
    <row r="51" spans="2:35" x14ac:dyDescent="0.2">
      <c r="B51" s="251" t="str">
        <f>INDEX('back-Bandwidths'!C25:AT25,1,$C$27)</f>
        <v>17M</v>
      </c>
      <c r="M51" t="s">
        <v>650</v>
      </c>
      <c r="R51" s="273"/>
      <c r="S51" s="274"/>
      <c r="T51" s="274"/>
      <c r="U51" s="275">
        <v>104</v>
      </c>
      <c r="V51" s="275" t="s">
        <v>643</v>
      </c>
      <c r="W51" s="274"/>
      <c r="X51" s="274"/>
      <c r="Y51" s="274"/>
      <c r="Z51" s="274"/>
      <c r="AA51" s="274"/>
      <c r="AB51" s="274"/>
      <c r="AC51" s="274"/>
      <c r="AD51" s="274"/>
      <c r="AE51" s="274"/>
      <c r="AF51" s="274"/>
      <c r="AG51" s="274"/>
      <c r="AH51" s="274"/>
      <c r="AI51" s="276"/>
    </row>
    <row r="52" spans="2:35" x14ac:dyDescent="0.2">
      <c r="B52" s="251" t="str">
        <f>INDEX('back-Bandwidths'!C26:AT26,1,$C$27)</f>
        <v>18M</v>
      </c>
      <c r="M52" t="s">
        <v>651</v>
      </c>
    </row>
    <row r="53" spans="2:35" x14ac:dyDescent="0.2">
      <c r="B53" s="251" t="str">
        <f>INDEX('back-Bandwidths'!C27:AT27,1,$C$27)</f>
        <v>19M</v>
      </c>
      <c r="M53" t="s">
        <v>652</v>
      </c>
    </row>
    <row r="54" spans="2:35" x14ac:dyDescent="0.2">
      <c r="B54" s="251" t="str">
        <f>INDEX('back-Bandwidths'!C28:AT28,1,$C$27)</f>
        <v>20M</v>
      </c>
      <c r="M54" t="s">
        <v>653</v>
      </c>
    </row>
    <row r="55" spans="2:35" x14ac:dyDescent="0.2">
      <c r="B55" s="251" t="str">
        <f>INDEX('back-Bandwidths'!C29:AT29,1,$C$27)</f>
        <v>25M</v>
      </c>
      <c r="M55" t="s">
        <v>654</v>
      </c>
      <c r="AC55" s="40" t="s">
        <v>655</v>
      </c>
      <c r="AD55" s="40" t="s">
        <v>656</v>
      </c>
      <c r="AE55" s="40" t="s">
        <v>657</v>
      </c>
    </row>
    <row r="56" spans="2:35" x14ac:dyDescent="0.2">
      <c r="B56" s="251" t="str">
        <f>INDEX('back-Bandwidths'!C30:AT30,1,$C$27)</f>
        <v>30M</v>
      </c>
      <c r="M56" t="s">
        <v>658</v>
      </c>
      <c r="AC56">
        <v>10</v>
      </c>
      <c r="AD56">
        <v>10</v>
      </c>
      <c r="AE56">
        <v>200</v>
      </c>
    </row>
    <row r="57" spans="2:35" x14ac:dyDescent="0.2">
      <c r="B57" s="251" t="str">
        <f>INDEX('back-Bandwidths'!C31:AT31,1,$C$27)</f>
        <v>34M</v>
      </c>
      <c r="AC57">
        <v>50</v>
      </c>
      <c r="AD57">
        <v>50</v>
      </c>
      <c r="AE57">
        <v>200</v>
      </c>
    </row>
    <row r="58" spans="2:35" x14ac:dyDescent="0.2">
      <c r="B58" s="251" t="str">
        <f>INDEX('back-Bandwidths'!C32:AT32,1,$C$27)</f>
        <v>40M</v>
      </c>
      <c r="AC58">
        <v>100</v>
      </c>
      <c r="AD58">
        <v>100</v>
      </c>
      <c r="AE58">
        <v>200</v>
      </c>
    </row>
    <row r="59" spans="2:35" x14ac:dyDescent="0.2">
      <c r="B59" s="251" t="str">
        <f>INDEX('back-Bandwidths'!C33:AT33,1,$C$27)</f>
        <v>45M</v>
      </c>
      <c r="AC59">
        <v>500</v>
      </c>
      <c r="AD59">
        <v>200</v>
      </c>
      <c r="AE59">
        <v>200</v>
      </c>
    </row>
    <row r="60" spans="2:35" x14ac:dyDescent="0.2">
      <c r="B60" s="251" t="str">
        <f>INDEX('back-Bandwidths'!C34:AT34,1,$C$27)</f>
        <v>50M</v>
      </c>
      <c r="AC60">
        <v>500</v>
      </c>
      <c r="AD60">
        <v>300</v>
      </c>
      <c r="AE60">
        <v>500</v>
      </c>
    </row>
    <row r="61" spans="2:35" x14ac:dyDescent="0.2">
      <c r="B61" s="251" t="str">
        <f>INDEX('back-Bandwidths'!C35:AT35,1,$C$27)</f>
        <v>60M</v>
      </c>
      <c r="AC61">
        <v>500</v>
      </c>
      <c r="AD61">
        <v>400</v>
      </c>
      <c r="AE61">
        <v>500</v>
      </c>
    </row>
    <row r="62" spans="2:35" x14ac:dyDescent="0.2">
      <c r="B62" s="251" t="str">
        <f>INDEX('back-Bandwidths'!C36:AT36,1,$C$27)</f>
        <v>70M</v>
      </c>
      <c r="AC62">
        <v>500</v>
      </c>
      <c r="AD62">
        <v>500</v>
      </c>
      <c r="AE62">
        <v>500</v>
      </c>
    </row>
    <row r="63" spans="2:35" x14ac:dyDescent="0.2">
      <c r="B63" s="251" t="str">
        <f>INDEX('back-Bandwidths'!C37:AT37,1,$C$27)</f>
        <v>80M</v>
      </c>
      <c r="AC63">
        <v>1000</v>
      </c>
      <c r="AD63">
        <v>1000</v>
      </c>
      <c r="AE63">
        <v>1000</v>
      </c>
    </row>
    <row r="64" spans="2:35" x14ac:dyDescent="0.2">
      <c r="B64" s="251" t="str">
        <f>INDEX('back-Bandwidths'!C38:AT38,1,$C$27)</f>
        <v>90M</v>
      </c>
    </row>
    <row r="65" spans="2:31" x14ac:dyDescent="0.2">
      <c r="B65" s="251" t="str">
        <f>INDEX('back-Bandwidths'!C39:AT39,1,$C$27)</f>
        <v>100M</v>
      </c>
    </row>
    <row r="66" spans="2:31" x14ac:dyDescent="0.2">
      <c r="B66" s="251" t="str">
        <f>INDEX('back-Bandwidths'!C40:AT40,1,$C$27)</f>
        <v>110M</v>
      </c>
    </row>
    <row r="67" spans="2:31" x14ac:dyDescent="0.2">
      <c r="B67" s="251" t="str">
        <f>INDEX('back-Bandwidths'!C41:AT41,1,$C$27)</f>
        <v>120M</v>
      </c>
    </row>
    <row r="68" spans="2:31" x14ac:dyDescent="0.2">
      <c r="B68" s="251" t="str">
        <f>INDEX('back-Bandwidths'!C42:AT42,1,$C$27)</f>
        <v>130M</v>
      </c>
    </row>
    <row r="69" spans="2:31" x14ac:dyDescent="0.2">
      <c r="B69" s="251" t="str">
        <f>INDEX('back-Bandwidths'!C43:AT43,1,$C$27)</f>
        <v>140M</v>
      </c>
      <c r="AD69" s="40" t="s">
        <v>659</v>
      </c>
      <c r="AE69" s="40" t="s">
        <v>660</v>
      </c>
    </row>
    <row r="70" spans="2:31" x14ac:dyDescent="0.2">
      <c r="B70" s="251" t="str">
        <f>INDEX('back-Bandwidths'!C44:AT44,1,$C$27)</f>
        <v>155M</v>
      </c>
      <c r="AD70">
        <v>10</v>
      </c>
      <c r="AE70">
        <v>50</v>
      </c>
    </row>
    <row r="71" spans="2:31" x14ac:dyDescent="0.2">
      <c r="B71" s="251" t="str">
        <f>INDEX('back-Bandwidths'!C45:AT45,1,$C$27)</f>
        <v>200M</v>
      </c>
      <c r="AD71">
        <v>50</v>
      </c>
      <c r="AE71">
        <v>50</v>
      </c>
    </row>
    <row r="72" spans="2:31" x14ac:dyDescent="0.2">
      <c r="B72" s="251" t="str">
        <f>INDEX('back-Bandwidths'!C46:AT46,1,$C$27)</f>
        <v>300M</v>
      </c>
      <c r="AD72">
        <v>100</v>
      </c>
      <c r="AE72">
        <v>100</v>
      </c>
    </row>
    <row r="73" spans="2:31" x14ac:dyDescent="0.2">
      <c r="B73" s="251" t="str">
        <f>INDEX('back-Bandwidths'!C47:AT47,1,$C$27)</f>
        <v>400M</v>
      </c>
      <c r="AD73">
        <v>200</v>
      </c>
      <c r="AE73">
        <v>200</v>
      </c>
    </row>
    <row r="74" spans="2:31" x14ac:dyDescent="0.2">
      <c r="B74" s="251" t="str">
        <f>INDEX('back-Bandwidths'!C48:AT48,1,$C$27)</f>
        <v>500M</v>
      </c>
      <c r="AD74">
        <v>300</v>
      </c>
      <c r="AE74">
        <v>300</v>
      </c>
    </row>
    <row r="75" spans="2:31" x14ac:dyDescent="0.2">
      <c r="B75" s="251" t="str">
        <f>INDEX('back-Bandwidths'!C49:AT49,1,$C$27)</f>
        <v>600M</v>
      </c>
      <c r="AD75">
        <v>400</v>
      </c>
      <c r="AE75">
        <v>400</v>
      </c>
    </row>
    <row r="76" spans="2:31" x14ac:dyDescent="0.2">
      <c r="B76" s="251" t="str">
        <f>INDEX('back-Bandwidths'!C50:AT50,1,$C$27)</f>
        <v>700M</v>
      </c>
      <c r="AD76">
        <v>500</v>
      </c>
      <c r="AE76">
        <v>500</v>
      </c>
    </row>
    <row r="77" spans="2:31" x14ac:dyDescent="0.2">
      <c r="B77" s="251" t="str">
        <f>INDEX('back-Bandwidths'!C51:AT51,1,$C$27)</f>
        <v>800M</v>
      </c>
    </row>
    <row r="78" spans="2:31" x14ac:dyDescent="0.2">
      <c r="B78" s="251" t="str">
        <f>INDEX('back-Bandwidths'!C52:AT52,1,$C$27)</f>
        <v>900M</v>
      </c>
    </row>
    <row r="79" spans="2:31" x14ac:dyDescent="0.2">
      <c r="B79" s="251" t="str">
        <f>INDEX('back-Bandwidths'!C53:AT53,1,$C$27)</f>
        <v>1G</v>
      </c>
    </row>
    <row r="80" spans="2:31" x14ac:dyDescent="0.2">
      <c r="B80" s="251" t="str">
        <f>INDEX('back-Bandwidths'!C54:AT54,1,$C$27)</f>
        <v>2G</v>
      </c>
    </row>
    <row r="81" spans="2:2" x14ac:dyDescent="0.2">
      <c r="B81" s="251" t="str">
        <f>INDEX('back-Bandwidths'!C55:AT55,1,$C$27)</f>
        <v>3G</v>
      </c>
    </row>
    <row r="82" spans="2:2" x14ac:dyDescent="0.2">
      <c r="B82" s="251" t="str">
        <f>INDEX('back-Bandwidths'!C56:AT56,1,$C$27)</f>
        <v>4G</v>
      </c>
    </row>
    <row r="83" spans="2:2" x14ac:dyDescent="0.2">
      <c r="B83" s="251" t="str">
        <f>INDEX('back-Bandwidths'!C57:AT57,1,$C$27)</f>
        <v>5G</v>
      </c>
    </row>
    <row r="84" spans="2:2" x14ac:dyDescent="0.2">
      <c r="B84" s="251" t="str">
        <f>INDEX('back-Bandwidths'!C58:AT58,1,$C$27)</f>
        <v>6G</v>
      </c>
    </row>
    <row r="85" spans="2:2" x14ac:dyDescent="0.2">
      <c r="B85" s="251" t="str">
        <f>INDEX('back-Bandwidths'!C59:AT59,1,$C$27)</f>
        <v>7G</v>
      </c>
    </row>
    <row r="86" spans="2:2" x14ac:dyDescent="0.2">
      <c r="B86" s="251" t="str">
        <f>INDEX('back-Bandwidths'!C60:AT60,1,$C$27)</f>
        <v>8G</v>
      </c>
    </row>
    <row r="87" spans="2:2" x14ac:dyDescent="0.2">
      <c r="B87" s="251" t="str">
        <f>INDEX('back-Bandwidths'!C61:AT61,1,$C$27)</f>
        <v>9G</v>
      </c>
    </row>
    <row r="88" spans="2:2" x14ac:dyDescent="0.2">
      <c r="B88" s="251" t="str">
        <f>INDEX('back-Bandwidths'!C62:AT62,1,$C$27)</f>
        <v>10G</v>
      </c>
    </row>
    <row r="89" spans="2:2" x14ac:dyDescent="0.2">
      <c r="B89">
        <f>INDEX('back-Bandwidths'!C63:AT63,1,$C$27)</f>
        <v>0</v>
      </c>
    </row>
    <row r="90" spans="2:2" x14ac:dyDescent="0.2">
      <c r="B90">
        <f>INDEX('back-Bandwidths'!C64:AT64,1,$C$27)</f>
        <v>0</v>
      </c>
    </row>
    <row r="91" spans="2:2" x14ac:dyDescent="0.2">
      <c r="B91">
        <f>INDEX('back-Bandwidths'!C65:AT65,1,$C$27)</f>
        <v>0</v>
      </c>
    </row>
    <row r="92" spans="2:2" x14ac:dyDescent="0.2">
      <c r="B92">
        <f>INDEX('back-Bandwidths'!C66:AT66,1,$C$27)</f>
        <v>0</v>
      </c>
    </row>
    <row r="93" spans="2:2" x14ac:dyDescent="0.2">
      <c r="B93">
        <f>INDEX('back-Bandwidths'!C67:AT67,1,$C$27)</f>
        <v>0</v>
      </c>
    </row>
    <row r="94" spans="2:2" x14ac:dyDescent="0.2">
      <c r="B94">
        <f>INDEX('back-Bandwidths'!C68:AT68,1,$C$27)</f>
        <v>0</v>
      </c>
    </row>
    <row r="95" spans="2:2" x14ac:dyDescent="0.2">
      <c r="B95">
        <f>INDEX('back-Bandwidths'!C69:AT69,1,$C$27)</f>
        <v>0</v>
      </c>
    </row>
    <row r="96" spans="2:2" x14ac:dyDescent="0.2">
      <c r="B96">
        <f>INDEX('back-Bandwidths'!C70:AT70,1,$C$27)</f>
        <v>0</v>
      </c>
    </row>
    <row r="97" spans="2:2" x14ac:dyDescent="0.2">
      <c r="B97">
        <f>INDEX('back-Bandwidths'!C71:AT71,1,$C$27)</f>
        <v>0</v>
      </c>
    </row>
    <row r="98" spans="2:2" x14ac:dyDescent="0.2">
      <c r="B98">
        <f>INDEX('back-Bandwidths'!C72:AT72,1,$C$27)</f>
        <v>0</v>
      </c>
    </row>
    <row r="99" spans="2:2" x14ac:dyDescent="0.2">
      <c r="B99">
        <f>INDEX('back-Bandwidths'!C73:AT73,1,$C$27)</f>
        <v>0</v>
      </c>
    </row>
    <row r="100" spans="2:2" x14ac:dyDescent="0.2">
      <c r="B100">
        <f>INDEX('back-Bandwidths'!C74:AT74,1,$C$27)</f>
        <v>0</v>
      </c>
    </row>
    <row r="101" spans="2:2" x14ac:dyDescent="0.2">
      <c r="B101">
        <f>INDEX('back-Bandwidths'!C75:AT75,1,$C$27)</f>
        <v>0</v>
      </c>
    </row>
    <row r="102" spans="2:2" x14ac:dyDescent="0.2">
      <c r="B102">
        <f>INDEX('back-Bandwidths'!C76:AT76,1,$C$27)</f>
        <v>0</v>
      </c>
    </row>
    <row r="103" spans="2:2" x14ac:dyDescent="0.2">
      <c r="B103">
        <f>INDEX('back-Bandwidths'!C77:AT77,1,$C$27)</f>
        <v>0</v>
      </c>
    </row>
    <row r="104" spans="2:2" x14ac:dyDescent="0.2">
      <c r="B104">
        <f>INDEX('back-Bandwidths'!C78:AT78,1,$C$27)</f>
        <v>0</v>
      </c>
    </row>
    <row r="105" spans="2:2" x14ac:dyDescent="0.2">
      <c r="B105">
        <f>INDEX('back-Bandwidths'!C79:AT79,1,$C$27)</f>
        <v>0</v>
      </c>
    </row>
    <row r="106" spans="2:2" x14ac:dyDescent="0.2">
      <c r="B106">
        <f>INDEX('back-Bandwidths'!C80:AT80,1,$C$27)</f>
        <v>0</v>
      </c>
    </row>
    <row r="107" spans="2:2" x14ac:dyDescent="0.2">
      <c r="B107">
        <f>INDEX('back-Bandwidths'!C81:AT81,1,$C$27)</f>
        <v>0</v>
      </c>
    </row>
    <row r="108" spans="2:2" x14ac:dyDescent="0.2">
      <c r="B108">
        <f>INDEX('back-Bandwidths'!C82:AT82,1,$C$27)</f>
        <v>0</v>
      </c>
    </row>
    <row r="109" spans="2:2" x14ac:dyDescent="0.2">
      <c r="B109">
        <f>INDEX('back-Bandwidths'!C83:AT83,1,$C$27)</f>
        <v>0</v>
      </c>
    </row>
    <row r="110" spans="2:2" x14ac:dyDescent="0.2">
      <c r="B110">
        <f>INDEX('back-Bandwidths'!C84:AT84,1,$C$27)</f>
        <v>0</v>
      </c>
    </row>
    <row r="111" spans="2:2" x14ac:dyDescent="0.2">
      <c r="B111">
        <f>INDEX('back-Bandwidths'!C85:AT85,1,$C$27)</f>
        <v>0</v>
      </c>
    </row>
    <row r="112" spans="2:2" x14ac:dyDescent="0.2">
      <c r="B112">
        <f>INDEX('back-Bandwidths'!C86:AT86,1,$C$27)</f>
        <v>0</v>
      </c>
    </row>
    <row r="113" spans="2:2" x14ac:dyDescent="0.2">
      <c r="B113">
        <f>INDEX('back-Bandwidths'!C87:AT87,1,$C$27)</f>
        <v>0</v>
      </c>
    </row>
    <row r="114" spans="2:2" x14ac:dyDescent="0.2">
      <c r="B114">
        <f>INDEX('back-Bandwidths'!C88:AT88,1,$C$27)</f>
        <v>0</v>
      </c>
    </row>
    <row r="115" spans="2:2" x14ac:dyDescent="0.2">
      <c r="B115">
        <f>INDEX('back-Bandwidths'!C89:AT89,1,$C$27)</f>
        <v>0</v>
      </c>
    </row>
    <row r="116" spans="2:2" x14ac:dyDescent="0.2">
      <c r="B116">
        <f>INDEX('back-Bandwidths'!C90:AT90,1,$C$27)</f>
        <v>0</v>
      </c>
    </row>
    <row r="117" spans="2:2" x14ac:dyDescent="0.2">
      <c r="B117">
        <f>INDEX('back-Bandwidths'!C91:AT91,1,$C$27)</f>
        <v>0</v>
      </c>
    </row>
    <row r="118" spans="2:2" x14ac:dyDescent="0.2">
      <c r="B118">
        <f>INDEX('back-Bandwidths'!C92:AT92,1,$C$27)</f>
        <v>0</v>
      </c>
    </row>
    <row r="119" spans="2:2" x14ac:dyDescent="0.2">
      <c r="B119">
        <f>INDEX('back-Bandwidths'!C93:AT93,1,$C$27)</f>
        <v>0</v>
      </c>
    </row>
    <row r="120" spans="2:2" x14ac:dyDescent="0.2">
      <c r="B120">
        <f>INDEX('back-Bandwidths'!C94:AT94,1,$C$27)</f>
        <v>0</v>
      </c>
    </row>
    <row r="121" spans="2:2" x14ac:dyDescent="0.2">
      <c r="B121">
        <f>INDEX('back-Bandwidths'!C95:AT95,1,$C$27)</f>
        <v>0</v>
      </c>
    </row>
    <row r="122" spans="2:2" x14ac:dyDescent="0.2">
      <c r="B122">
        <f>INDEX('back-Bandwidths'!C96:AT96,1,$C$27)</f>
        <v>0</v>
      </c>
    </row>
    <row r="123" spans="2:2" x14ac:dyDescent="0.2">
      <c r="B123">
        <f>INDEX('back-Bandwidths'!C97:AT97,1,$C$27)</f>
        <v>0</v>
      </c>
    </row>
    <row r="124" spans="2:2" x14ac:dyDescent="0.2">
      <c r="B124">
        <f>INDEX('back-Bandwidths'!C98:AT98,1,$C$27)</f>
        <v>0</v>
      </c>
    </row>
    <row r="125" spans="2:2" x14ac:dyDescent="0.2">
      <c r="B125">
        <f>INDEX('back-Bandwidths'!C99:AT99,1,$C$27)</f>
        <v>0</v>
      </c>
    </row>
    <row r="126" spans="2:2" x14ac:dyDescent="0.2">
      <c r="B126">
        <f>INDEX('back-Bandwidths'!C100:AT100,1,$C$27)</f>
        <v>0</v>
      </c>
    </row>
    <row r="127" spans="2:2" x14ac:dyDescent="0.2">
      <c r="B127">
        <f>INDEX('back-Bandwidths'!C101:AT101,1,$C$27)</f>
        <v>0</v>
      </c>
    </row>
    <row r="128" spans="2:2" x14ac:dyDescent="0.2">
      <c r="B128">
        <f>INDEX('back-Bandwidths'!C102:AT102,1,$C$27)</f>
        <v>0</v>
      </c>
    </row>
    <row r="151" spans="2:2" x14ac:dyDescent="0.2">
      <c r="B151" s="277">
        <f>C11</f>
        <v>2</v>
      </c>
    </row>
    <row r="152" spans="2:2" x14ac:dyDescent="0.2">
      <c r="B152" s="277">
        <f>IF(OR(back!C4=3,back!C4=4,back!S13=1),back!C4-2,100)</f>
        <v>100</v>
      </c>
    </row>
    <row r="153" spans="2:2" x14ac:dyDescent="0.2">
      <c r="B153" s="278">
        <f>INDEX('back DSL'!B3:IF3,1,2*$B$151-2+$B$152)</f>
        <v>0</v>
      </c>
    </row>
    <row r="154" spans="2:2" x14ac:dyDescent="0.2">
      <c r="B154" s="278">
        <f>INDEX('back DSL'!B4:IF4,1,2*$B$151-2+$B$152)</f>
        <v>0</v>
      </c>
    </row>
    <row r="155" spans="2:2" x14ac:dyDescent="0.2">
      <c r="B155" s="278">
        <f>INDEX('back DSL'!B5:IF5,1,2*$B$151-2+$B$152)</f>
        <v>0</v>
      </c>
    </row>
    <row r="156" spans="2:2" x14ac:dyDescent="0.2">
      <c r="B156" s="278">
        <f>INDEX('back DSL'!B6:IF6,1,2*$B$151-2+$B$152)</f>
        <v>0</v>
      </c>
    </row>
    <row r="157" spans="2:2" x14ac:dyDescent="0.2">
      <c r="B157" s="278">
        <f>INDEX('back DSL'!B7:IF7,1,2*$B$151-2+$B$152)</f>
        <v>0</v>
      </c>
    </row>
    <row r="158" spans="2:2" x14ac:dyDescent="0.2">
      <c r="B158" s="278">
        <f>INDEX('back DSL'!B8:IF8,1,2*$B$151-2+$B$152)</f>
        <v>0</v>
      </c>
    </row>
    <row r="159" spans="2:2" x14ac:dyDescent="0.2">
      <c r="B159" s="278">
        <f>INDEX('back DSL'!B9:IF9,1,2*$B$151-2+$B$152)</f>
        <v>0</v>
      </c>
    </row>
    <row r="160" spans="2:2" x14ac:dyDescent="0.2">
      <c r="B160" s="278">
        <f>INDEX('back DSL'!B10:IF10,1,2*$B$151-2+$B$152)</f>
        <v>0</v>
      </c>
    </row>
    <row r="161" spans="1:15" x14ac:dyDescent="0.2">
      <c r="B161" s="278">
        <f>INDEX('back DSL'!B11:IF11,1,2*$B$151-2+$B$152)</f>
        <v>0</v>
      </c>
    </row>
    <row r="163" spans="1:15" x14ac:dyDescent="0.2">
      <c r="A163" s="279"/>
      <c r="B163" s="279"/>
      <c r="C163" s="279"/>
      <c r="D163" s="279"/>
      <c r="E163" s="279"/>
      <c r="F163" s="279"/>
      <c r="G163" s="279"/>
      <c r="H163" s="279"/>
      <c r="I163" s="279"/>
      <c r="J163" s="279"/>
      <c r="K163" s="279"/>
      <c r="L163" s="279"/>
      <c r="M163" s="279"/>
      <c r="N163" s="279"/>
      <c r="O163" s="279"/>
    </row>
    <row r="165" spans="1:15" x14ac:dyDescent="0.2">
      <c r="B165" t="s">
        <v>661</v>
      </c>
      <c r="C165" s="250" t="b">
        <f>'New KR'!B33</f>
        <v>0</v>
      </c>
      <c r="D165" s="251" t="str">
        <f>B4</f>
        <v>Fibre</v>
      </c>
      <c r="I165">
        <v>1</v>
      </c>
      <c r="J165" s="252" t="s">
        <v>532</v>
      </c>
      <c r="K165" s="257">
        <f>'New KR'!C52</f>
        <v>0</v>
      </c>
      <c r="L165" s="251" t="e">
        <f>choice</f>
        <v>#NAME?</v>
      </c>
    </row>
    <row r="166" spans="1:15" x14ac:dyDescent="0.2">
      <c r="D166" s="251" t="str">
        <f>B5</f>
        <v>3rd Party Leased Line</v>
      </c>
      <c r="I166">
        <v>2</v>
      </c>
      <c r="J166" s="252" t="s">
        <v>78</v>
      </c>
    </row>
    <row r="167" spans="1:15" x14ac:dyDescent="0.2">
      <c r="D167" s="251" t="str">
        <f>B6</f>
        <v>ULL DSL</v>
      </c>
      <c r="I167">
        <v>3</v>
      </c>
      <c r="J167" s="252" t="s">
        <v>540</v>
      </c>
    </row>
    <row r="168" spans="1:15" x14ac:dyDescent="0.2">
      <c r="D168" s="251" t="str">
        <f>B8</f>
        <v>wDSL</v>
      </c>
      <c r="I168">
        <v>4</v>
      </c>
      <c r="J168" s="252" t="s">
        <v>546</v>
      </c>
    </row>
    <row r="169" spans="1:15" x14ac:dyDescent="0.2">
      <c r="I169">
        <v>5</v>
      </c>
      <c r="J169" s="252" t="s">
        <v>550</v>
      </c>
    </row>
    <row r="170" spans="1:15" x14ac:dyDescent="0.2">
      <c r="B170" t="s">
        <v>661</v>
      </c>
      <c r="C170" s="250" t="e">
        <f>'New KR'!C37</f>
        <v>#VALUE!</v>
      </c>
      <c r="D170" t="s">
        <v>662</v>
      </c>
      <c r="I170">
        <v>6</v>
      </c>
      <c r="J170" s="252" t="s">
        <v>553</v>
      </c>
    </row>
    <row r="171" spans="1:15" x14ac:dyDescent="0.2">
      <c r="I171">
        <v>7</v>
      </c>
      <c r="J171" s="252" t="s">
        <v>556</v>
      </c>
    </row>
    <row r="172" spans="1:15" x14ac:dyDescent="0.2">
      <c r="B172" t="s">
        <v>661</v>
      </c>
      <c r="C172">
        <f>K165</f>
        <v>0</v>
      </c>
      <c r="D172" t="s">
        <v>216</v>
      </c>
      <c r="I172">
        <v>8</v>
      </c>
      <c r="J172" s="252" t="s">
        <v>559</v>
      </c>
    </row>
    <row r="173" spans="1:15" x14ac:dyDescent="0.2">
      <c r="I173">
        <v>9</v>
      </c>
      <c r="J173" s="252" t="s">
        <v>562</v>
      </c>
    </row>
    <row r="174" spans="1:15" x14ac:dyDescent="0.2">
      <c r="I174">
        <v>10</v>
      </c>
      <c r="J174" s="252" t="s">
        <v>566</v>
      </c>
    </row>
    <row r="175" spans="1:15" x14ac:dyDescent="0.2">
      <c r="C175">
        <f>C172+1</f>
        <v>1</v>
      </c>
      <c r="D175" t="s">
        <v>588</v>
      </c>
      <c r="I175">
        <v>11</v>
      </c>
      <c r="J175" s="252" t="s">
        <v>570</v>
      </c>
    </row>
    <row r="176" spans="1:15" x14ac:dyDescent="0.2">
      <c r="C176">
        <f>C172+1+13</f>
        <v>14</v>
      </c>
      <c r="D176" t="s">
        <v>590</v>
      </c>
      <c r="I176">
        <v>12</v>
      </c>
      <c r="J176" s="252" t="s">
        <v>575</v>
      </c>
    </row>
    <row r="177" spans="2:10" x14ac:dyDescent="0.2">
      <c r="B177" t="s">
        <v>597</v>
      </c>
      <c r="C177">
        <f>IF(C165=1,1,IF(C165=2,1,IF(C165=5,1,IF(C165=3,C175,IF(C165=4,C176,0)))))</f>
        <v>0</v>
      </c>
      <c r="I177">
        <v>13</v>
      </c>
      <c r="J177" s="252" t="s">
        <v>580</v>
      </c>
    </row>
    <row r="178" spans="2:10" x14ac:dyDescent="0.2">
      <c r="J178" s="252" t="s">
        <v>360</v>
      </c>
    </row>
    <row r="179" spans="2:10" x14ac:dyDescent="0.2">
      <c r="J179" s="252" t="s">
        <v>587</v>
      </c>
    </row>
    <row r="180" spans="2:10" x14ac:dyDescent="0.2">
      <c r="B180" t="e">
        <f>INDEX('back-Bandwidths'!C4:AM4,1,$C$177)</f>
        <v>#VALUE!</v>
      </c>
    </row>
    <row r="181" spans="2:10" x14ac:dyDescent="0.2">
      <c r="B181" t="e">
        <f>INDEX('back-Bandwidths'!C5:AM5,1,$C$177)</f>
        <v>#VALUE!</v>
      </c>
    </row>
    <row r="182" spans="2:10" x14ac:dyDescent="0.2">
      <c r="B182" t="e">
        <f>INDEX('back-Bandwidths'!C6:AM6,1,$C$177)</f>
        <v>#VALUE!</v>
      </c>
    </row>
    <row r="183" spans="2:10" x14ac:dyDescent="0.2">
      <c r="B183" t="e">
        <f>INDEX('back-Bandwidths'!C7:AM7,1,$C$177)</f>
        <v>#VALUE!</v>
      </c>
    </row>
    <row r="184" spans="2:10" x14ac:dyDescent="0.2">
      <c r="B184" t="e">
        <f>INDEX('back-Bandwidths'!C8:AM8,1,$C$177)</f>
        <v>#VALUE!</v>
      </c>
    </row>
    <row r="185" spans="2:10" x14ac:dyDescent="0.2">
      <c r="B185" t="e">
        <f>INDEX('back-Bandwidths'!C9:AM9,1,$C$177)</f>
        <v>#VALUE!</v>
      </c>
    </row>
    <row r="186" spans="2:10" x14ac:dyDescent="0.2">
      <c r="B186" t="e">
        <f>INDEX('back-Bandwidths'!C10:AM10,1,$C$177)</f>
        <v>#VALUE!</v>
      </c>
    </row>
    <row r="187" spans="2:10" x14ac:dyDescent="0.2">
      <c r="B187" t="e">
        <f>INDEX('back-Bandwidths'!C11:AM11,1,$C$177)</f>
        <v>#VALUE!</v>
      </c>
    </row>
    <row r="188" spans="2:10" x14ac:dyDescent="0.2">
      <c r="B188" t="e">
        <f>INDEX('back-Bandwidths'!C12:AM12,1,$C$177)</f>
        <v>#VALUE!</v>
      </c>
    </row>
    <row r="189" spans="2:10" x14ac:dyDescent="0.2">
      <c r="B189" t="e">
        <f>INDEX('back-Bandwidths'!C13:AM13,1,$C$177)</f>
        <v>#VALUE!</v>
      </c>
    </row>
    <row r="190" spans="2:10" x14ac:dyDescent="0.2">
      <c r="B190" t="e">
        <f>INDEX('back-Bandwidths'!C14:AM14,1,$C$177)</f>
        <v>#VALUE!</v>
      </c>
    </row>
    <row r="191" spans="2:10" x14ac:dyDescent="0.2">
      <c r="B191" t="e">
        <f>INDEX('back-Bandwidths'!C15:AM15,1,$C$177)</f>
        <v>#VALUE!</v>
      </c>
    </row>
    <row r="192" spans="2:10" x14ac:dyDescent="0.2">
      <c r="B192" t="e">
        <f>INDEX('back-Bandwidths'!C16:AC16,1,$C$177)</f>
        <v>#VALUE!</v>
      </c>
    </row>
    <row r="193" spans="2:2" x14ac:dyDescent="0.2">
      <c r="B193" t="e">
        <f>INDEX('back-Bandwidths'!C17:AC17,1,$C$177)</f>
        <v>#VALUE!</v>
      </c>
    </row>
    <row r="194" spans="2:2" x14ac:dyDescent="0.2">
      <c r="B194" t="e">
        <f>INDEX('back-Bandwidths'!C18:AC18,1,$C$177)</f>
        <v>#VALUE!</v>
      </c>
    </row>
    <row r="195" spans="2:2" x14ac:dyDescent="0.2">
      <c r="B195" t="e">
        <f>INDEX('back-Bandwidths'!C19:AC19,1,$C$177)</f>
        <v>#VALUE!</v>
      </c>
    </row>
    <row r="196" spans="2:2" x14ac:dyDescent="0.2">
      <c r="B196" t="e">
        <f>INDEX('back-Bandwidths'!C20:AC20,1,$C$177)</f>
        <v>#VALUE!</v>
      </c>
    </row>
    <row r="197" spans="2:2" x14ac:dyDescent="0.2">
      <c r="B197" t="e">
        <f>INDEX('back-Bandwidths'!C21:AC21,1,$C$177)</f>
        <v>#VALUE!</v>
      </c>
    </row>
    <row r="198" spans="2:2" x14ac:dyDescent="0.2">
      <c r="B198" t="e">
        <f>INDEX('back-Bandwidths'!C22:AC22,1,$C$177)</f>
        <v>#VALUE!</v>
      </c>
    </row>
    <row r="199" spans="2:2" x14ac:dyDescent="0.2">
      <c r="B199" t="e">
        <f>INDEX('back-Bandwidths'!C23:AC23,1,$C$177)</f>
        <v>#VALUE!</v>
      </c>
    </row>
    <row r="200" spans="2:2" x14ac:dyDescent="0.2">
      <c r="B200" t="e">
        <f>INDEX('back-Bandwidths'!C24:AC24,1,$C$177)</f>
        <v>#VALUE!</v>
      </c>
    </row>
    <row r="201" spans="2:2" x14ac:dyDescent="0.2">
      <c r="B201" t="e">
        <f>INDEX('back-Bandwidths'!C25:AC25,1,$C$177)</f>
        <v>#VALUE!</v>
      </c>
    </row>
    <row r="202" spans="2:2" x14ac:dyDescent="0.2">
      <c r="B202" t="e">
        <f>INDEX('back-Bandwidths'!C26:AC26,1,$C$177)</f>
        <v>#VALUE!</v>
      </c>
    </row>
    <row r="203" spans="2:2" x14ac:dyDescent="0.2">
      <c r="B203" t="e">
        <f>INDEX('back-Bandwidths'!C27:AC27,1,$C$177)</f>
        <v>#VALUE!</v>
      </c>
    </row>
    <row r="204" spans="2:2" x14ac:dyDescent="0.2">
      <c r="B204" t="e">
        <f>INDEX('back-Bandwidths'!C28:AC28,1,$C$177)</f>
        <v>#VALUE!</v>
      </c>
    </row>
    <row r="205" spans="2:2" x14ac:dyDescent="0.2">
      <c r="B205" t="e">
        <f>INDEX('back-Bandwidths'!C29:AC29,1,$C$177)</f>
        <v>#VALUE!</v>
      </c>
    </row>
    <row r="206" spans="2:2" x14ac:dyDescent="0.2">
      <c r="B206" t="e">
        <f>INDEX('back-Bandwidths'!C30:AC30,1,$C$177)</f>
        <v>#VALUE!</v>
      </c>
    </row>
    <row r="207" spans="2:2" x14ac:dyDescent="0.2">
      <c r="B207" t="e">
        <f>INDEX('back-Bandwidths'!C31:AC31,1,$C$177)</f>
        <v>#VALUE!</v>
      </c>
    </row>
    <row r="208" spans="2:2" x14ac:dyDescent="0.2">
      <c r="B208" t="e">
        <f>INDEX('back-Bandwidths'!C32:AC32,1,$C$177)</f>
        <v>#VALUE!</v>
      </c>
    </row>
    <row r="209" spans="2:2" x14ac:dyDescent="0.2">
      <c r="B209" t="e">
        <f>INDEX('back-Bandwidths'!C33:AC33,1,$C$177)</f>
        <v>#VALUE!</v>
      </c>
    </row>
    <row r="210" spans="2:2" x14ac:dyDescent="0.2">
      <c r="B210" t="e">
        <f>INDEX('back-Bandwidths'!C34:AC34,1,$C$177)</f>
        <v>#VALUE!</v>
      </c>
    </row>
    <row r="211" spans="2:2" x14ac:dyDescent="0.2">
      <c r="B211" t="e">
        <f>INDEX('back-Bandwidths'!C35:AC35,1,$C$177)</f>
        <v>#VALUE!</v>
      </c>
    </row>
    <row r="212" spans="2:2" x14ac:dyDescent="0.2">
      <c r="B212" t="e">
        <f>INDEX('back-Bandwidths'!C36:AC36,1,$C$177)</f>
        <v>#VALUE!</v>
      </c>
    </row>
    <row r="213" spans="2:2" x14ac:dyDescent="0.2">
      <c r="B213" t="e">
        <f>INDEX('back-Bandwidths'!C37:AC37,1,$C$177)</f>
        <v>#VALUE!</v>
      </c>
    </row>
    <row r="214" spans="2:2" x14ac:dyDescent="0.2">
      <c r="B214" t="e">
        <f>INDEX('back-Bandwidths'!C38:AC38,1,$C$177)</f>
        <v>#VALUE!</v>
      </c>
    </row>
    <row r="215" spans="2:2" x14ac:dyDescent="0.2">
      <c r="B215" t="e">
        <f>INDEX('back-Bandwidths'!C39:AC39,1,$C$177)</f>
        <v>#VALUE!</v>
      </c>
    </row>
    <row r="216" spans="2:2" x14ac:dyDescent="0.2">
      <c r="B216" t="e">
        <f>INDEX('back-Bandwidths'!C40:AC40,1,$C$177)</f>
        <v>#VALUE!</v>
      </c>
    </row>
    <row r="217" spans="2:2" x14ac:dyDescent="0.2">
      <c r="B217" t="e">
        <f>INDEX('back-Bandwidths'!C41:AC41,1,$C$177)</f>
        <v>#VALUE!</v>
      </c>
    </row>
    <row r="218" spans="2:2" x14ac:dyDescent="0.2">
      <c r="B218" t="e">
        <f>INDEX('back-Bandwidths'!C42:AC42,1,$C$177)</f>
        <v>#VALUE!</v>
      </c>
    </row>
    <row r="219" spans="2:2" x14ac:dyDescent="0.2">
      <c r="B219" t="e">
        <f>INDEX('back-Bandwidths'!C43:AC43,1,$C$177)</f>
        <v>#VALUE!</v>
      </c>
    </row>
    <row r="220" spans="2:2" x14ac:dyDescent="0.2">
      <c r="B220" t="e">
        <f>INDEX('back-Bandwidths'!C44:AC44,1,$C$177)</f>
        <v>#VALUE!</v>
      </c>
    </row>
    <row r="221" spans="2:2" x14ac:dyDescent="0.2">
      <c r="B221" t="e">
        <f>INDEX('back-Bandwidths'!C45:AC45,1,$C$177)</f>
        <v>#VALUE!</v>
      </c>
    </row>
    <row r="222" spans="2:2" x14ac:dyDescent="0.2">
      <c r="B222" t="e">
        <f>INDEX('back-Bandwidths'!C46:AC46,1,$C$177)</f>
        <v>#VALUE!</v>
      </c>
    </row>
    <row r="223" spans="2:2" x14ac:dyDescent="0.2">
      <c r="B223" t="e">
        <f>INDEX('back-Bandwidths'!C47:AC47,1,$C$177)</f>
        <v>#VALUE!</v>
      </c>
    </row>
    <row r="224" spans="2:2" x14ac:dyDescent="0.2">
      <c r="B224" t="e">
        <f>INDEX('back-Bandwidths'!C48:AC48,1,$C$177)</f>
        <v>#VALUE!</v>
      </c>
    </row>
    <row r="225" spans="2:2" x14ac:dyDescent="0.2">
      <c r="B225" t="e">
        <f>INDEX('back-Bandwidths'!C49:AC49,1,$C$177)</f>
        <v>#VALUE!</v>
      </c>
    </row>
    <row r="226" spans="2:2" x14ac:dyDescent="0.2">
      <c r="B226" t="e">
        <f>INDEX('back-Bandwidths'!C50:AC50,1,$C$177)</f>
        <v>#VALUE!</v>
      </c>
    </row>
    <row r="227" spans="2:2" x14ac:dyDescent="0.2">
      <c r="B227" t="e">
        <f>INDEX('back-Bandwidths'!C51:AC51,1,$C$177)</f>
        <v>#VALUE!</v>
      </c>
    </row>
    <row r="228" spans="2:2" x14ac:dyDescent="0.2">
      <c r="B228" t="e">
        <f>INDEX('back-Bandwidths'!C52:AC52,1,$C$177)</f>
        <v>#VALUE!</v>
      </c>
    </row>
    <row r="229" spans="2:2" x14ac:dyDescent="0.2">
      <c r="B229" t="e">
        <f>INDEX('back-Bandwidths'!C53:AC53,1,$C$177)</f>
        <v>#VALUE!</v>
      </c>
    </row>
    <row r="230" spans="2:2" x14ac:dyDescent="0.2">
      <c r="B230" t="e">
        <f>INDEX('back-Bandwidths'!C54:AC54,1,$C$177)</f>
        <v>#VALUE!</v>
      </c>
    </row>
    <row r="231" spans="2:2" x14ac:dyDescent="0.2">
      <c r="B231" t="e">
        <f>INDEX('back-Bandwidths'!C55:AC55,1,$C$177)</f>
        <v>#VALUE!</v>
      </c>
    </row>
    <row r="232" spans="2:2" x14ac:dyDescent="0.2">
      <c r="B232" t="e">
        <f>INDEX('back-Bandwidths'!C56:AC56,1,$C$177)</f>
        <v>#VALUE!</v>
      </c>
    </row>
    <row r="233" spans="2:2" x14ac:dyDescent="0.2">
      <c r="B233" t="e">
        <f>INDEX('back-Bandwidths'!C57:AC57,1,$C$177)</f>
        <v>#VALUE!</v>
      </c>
    </row>
    <row r="234" spans="2:2" x14ac:dyDescent="0.2">
      <c r="B234" t="e">
        <f>INDEX('back-Bandwidths'!C58:AC58,1,$C$177)</f>
        <v>#VALUE!</v>
      </c>
    </row>
    <row r="235" spans="2:2" x14ac:dyDescent="0.2">
      <c r="B235" t="e">
        <f>INDEX('back-Bandwidths'!C59:AC59,1,$C$177)</f>
        <v>#VALUE!</v>
      </c>
    </row>
    <row r="236" spans="2:2" x14ac:dyDescent="0.2">
      <c r="B236" t="e">
        <f>INDEX('back-Bandwidths'!C60:AC60,1,$C$177)</f>
        <v>#VALUE!</v>
      </c>
    </row>
    <row r="237" spans="2:2" x14ac:dyDescent="0.2">
      <c r="B237" t="e">
        <f>INDEX('back-Bandwidths'!C61:AC61,1,$C$177)</f>
        <v>#VALUE!</v>
      </c>
    </row>
    <row r="238" spans="2:2" x14ac:dyDescent="0.2">
      <c r="B238" t="e">
        <f>INDEX('back-Bandwidths'!C62:AC62,1,$C$177)</f>
        <v>#VALUE!</v>
      </c>
    </row>
    <row r="239" spans="2:2" x14ac:dyDescent="0.2">
      <c r="B239" t="e">
        <f>INDEX('back-Bandwidths'!C63:AC63,1,$C$177)</f>
        <v>#VALUE!</v>
      </c>
    </row>
    <row r="240" spans="2:2" x14ac:dyDescent="0.2">
      <c r="B240" t="e">
        <f>INDEX('back-Bandwidths'!C64:AC64,1,$C$177)</f>
        <v>#VALUE!</v>
      </c>
    </row>
    <row r="241" spans="2:2" x14ac:dyDescent="0.2">
      <c r="B241" t="e">
        <f>INDEX('back-Bandwidths'!C65:AC65,1,$C$177)</f>
        <v>#VALUE!</v>
      </c>
    </row>
    <row r="242" spans="2:2" x14ac:dyDescent="0.2">
      <c r="B242" t="e">
        <f>INDEX('back-Bandwidths'!C66:AC66,1,$C$177)</f>
        <v>#VALUE!</v>
      </c>
    </row>
    <row r="243" spans="2:2" x14ac:dyDescent="0.2">
      <c r="B243" t="e">
        <f>INDEX('back-Bandwidths'!C67:AC67,1,$C$177)</f>
        <v>#VALUE!</v>
      </c>
    </row>
    <row r="244" spans="2:2" x14ac:dyDescent="0.2">
      <c r="B244" t="e">
        <f>INDEX('back-Bandwidths'!C68:AC68,1,$C$177)</f>
        <v>#VALUE!</v>
      </c>
    </row>
    <row r="245" spans="2:2" x14ac:dyDescent="0.2">
      <c r="B245" t="e">
        <f>INDEX('back-Bandwidths'!C69:AC69,1,$C$177)</f>
        <v>#VALUE!</v>
      </c>
    </row>
    <row r="246" spans="2:2" x14ac:dyDescent="0.2">
      <c r="B246" t="e">
        <f>INDEX('back-Bandwidths'!C70:AC70,1,$C$177)</f>
        <v>#VALUE!</v>
      </c>
    </row>
    <row r="247" spans="2:2" x14ac:dyDescent="0.2">
      <c r="B247" t="e">
        <f>INDEX('back-Bandwidths'!C71:AC71,1,$C$177)</f>
        <v>#VALUE!</v>
      </c>
    </row>
    <row r="248" spans="2:2" x14ac:dyDescent="0.2">
      <c r="B248" t="e">
        <f>INDEX('back-Bandwidths'!C72:AC72,1,$C$177)</f>
        <v>#VALUE!</v>
      </c>
    </row>
    <row r="249" spans="2:2" x14ac:dyDescent="0.2">
      <c r="B249" t="e">
        <f>INDEX('back-Bandwidths'!C73:AC73,1,$C$177)</f>
        <v>#VALUE!</v>
      </c>
    </row>
    <row r="250" spans="2:2" x14ac:dyDescent="0.2">
      <c r="B250" t="e">
        <f>INDEX('back-Bandwidths'!C74:AC74,1,$C$177)</f>
        <v>#VALUE!</v>
      </c>
    </row>
    <row r="251" spans="2:2" x14ac:dyDescent="0.2">
      <c r="B251" t="e">
        <f>INDEX('back-Bandwidths'!C75:AC75,1,$C$177)</f>
        <v>#VALUE!</v>
      </c>
    </row>
    <row r="252" spans="2:2" x14ac:dyDescent="0.2">
      <c r="B252" t="e">
        <f>INDEX('back-Bandwidths'!C76:AC76,1,$C$177)</f>
        <v>#VALUE!</v>
      </c>
    </row>
    <row r="253" spans="2:2" x14ac:dyDescent="0.2">
      <c r="B253" t="e">
        <f>INDEX('back-Bandwidths'!C77:AC77,1,$C$177)</f>
        <v>#VALUE!</v>
      </c>
    </row>
    <row r="254" spans="2:2" x14ac:dyDescent="0.2">
      <c r="B254" t="e">
        <f>INDEX('back-Bandwidths'!C78:AC78,1,$C$177)</f>
        <v>#VALUE!</v>
      </c>
    </row>
    <row r="255" spans="2:2" x14ac:dyDescent="0.2">
      <c r="B255" t="e">
        <f>INDEX('back-Bandwidths'!C79:AC79,1,$C$177)</f>
        <v>#VALUE!</v>
      </c>
    </row>
    <row r="256" spans="2:2" x14ac:dyDescent="0.2">
      <c r="B256" t="e">
        <f>INDEX('back-Bandwidths'!C80:AC80,1,$C$177)</f>
        <v>#VALUE!</v>
      </c>
    </row>
    <row r="257" spans="2:2" x14ac:dyDescent="0.2">
      <c r="B257" t="e">
        <f>INDEX('back-Bandwidths'!C81:AC81,1,$C$177)</f>
        <v>#VALUE!</v>
      </c>
    </row>
    <row r="258" spans="2:2" x14ac:dyDescent="0.2">
      <c r="B258" t="e">
        <f>INDEX('back-Bandwidths'!C82:AC82,1,$C$177)</f>
        <v>#VALUE!</v>
      </c>
    </row>
    <row r="259" spans="2:2" x14ac:dyDescent="0.2">
      <c r="B259" t="e">
        <f>INDEX('back-Bandwidths'!C83:AC83,1,$C$177)</f>
        <v>#VALUE!</v>
      </c>
    </row>
    <row r="260" spans="2:2" x14ac:dyDescent="0.2">
      <c r="B260" t="e">
        <f>INDEX('back-Bandwidths'!C84:AC84,1,$C$177)</f>
        <v>#VALUE!</v>
      </c>
    </row>
    <row r="261" spans="2:2" x14ac:dyDescent="0.2">
      <c r="B261" t="e">
        <f>INDEX('back-Bandwidths'!C85:AC85,1,$C$177)</f>
        <v>#VALUE!</v>
      </c>
    </row>
    <row r="262" spans="2:2" x14ac:dyDescent="0.2">
      <c r="B262" t="e">
        <f>INDEX('back-Bandwidths'!C86:AC86,1,$C$177)</f>
        <v>#VALUE!</v>
      </c>
    </row>
    <row r="263" spans="2:2" x14ac:dyDescent="0.2">
      <c r="B263" t="e">
        <f>INDEX('back-Bandwidths'!C87:AC87,1,$C$177)</f>
        <v>#VALUE!</v>
      </c>
    </row>
    <row r="264" spans="2:2" x14ac:dyDescent="0.2">
      <c r="B264" t="e">
        <f>INDEX('back-Bandwidths'!C88:AC88,1,$C$177)</f>
        <v>#VALUE!</v>
      </c>
    </row>
    <row r="268" spans="2:2" x14ac:dyDescent="0.2">
      <c r="B268" s="277">
        <f>C172</f>
        <v>0</v>
      </c>
    </row>
    <row r="269" spans="2:2" x14ac:dyDescent="0.2">
      <c r="B269" s="277">
        <f>IF(OR(back!C165=3,back!C165=4),back!C165-2,100)</f>
        <v>100</v>
      </c>
    </row>
    <row r="270" spans="2:2" x14ac:dyDescent="0.2">
      <c r="B270" s="278">
        <f>INDEX('back DSL'!B4:IF4,1,2*$B$268-2+$B$269)</f>
        <v>0</v>
      </c>
    </row>
    <row r="271" spans="2:2" x14ac:dyDescent="0.2">
      <c r="B271" s="278">
        <f>INDEX('back DSL'!B5:IF5,1,2*$B$268-2+$B$269)</f>
        <v>0</v>
      </c>
    </row>
    <row r="272" spans="2:2" x14ac:dyDescent="0.2">
      <c r="B272" s="278">
        <f>INDEX('back DSL'!B6:IF6,1,2*$B$268-2+$B$269)</f>
        <v>0</v>
      </c>
    </row>
    <row r="273" spans="1:14" x14ac:dyDescent="0.2">
      <c r="B273" s="278">
        <f>INDEX('back DSL'!B7:IF7,1,2*$B$268-2+$B$269)</f>
        <v>0</v>
      </c>
    </row>
    <row r="274" spans="1:14" x14ac:dyDescent="0.2">
      <c r="B274" s="278">
        <f>INDEX('back DSL'!B8:IF8,1,2*$B$268-2+$B$269)</f>
        <v>0</v>
      </c>
    </row>
    <row r="275" spans="1:14" x14ac:dyDescent="0.2">
      <c r="B275" s="278">
        <f>INDEX('back DSL'!B9:IF9,1,2*$B$268-2+$B$269)</f>
        <v>0</v>
      </c>
    </row>
    <row r="276" spans="1:14" x14ac:dyDescent="0.2">
      <c r="B276" s="278">
        <f>INDEX('back DSL'!B10:IF10,1,2*$B$268-2+$B$269)</f>
        <v>0</v>
      </c>
    </row>
    <row r="277" spans="1:14" x14ac:dyDescent="0.2">
      <c r="B277" s="278">
        <f>INDEX('back DSL'!B11:IF11,1,2*$B$268-2+$B$269)</f>
        <v>0</v>
      </c>
    </row>
    <row r="278" spans="1:14" x14ac:dyDescent="0.2">
      <c r="B278" s="278">
        <f>INDEX('back DSL'!B12:IF12,1,2*$B$268-2+$B$269)</f>
        <v>0</v>
      </c>
    </row>
    <row r="281" spans="1:14" x14ac:dyDescent="0.2">
      <c r="A281" s="279"/>
      <c r="B281" s="279"/>
      <c r="C281" s="279"/>
      <c r="D281" s="279"/>
      <c r="E281" s="279"/>
      <c r="F281" s="279"/>
      <c r="G281" s="279"/>
      <c r="H281" s="279"/>
      <c r="I281" s="279"/>
      <c r="J281" s="279"/>
      <c r="K281" s="279"/>
      <c r="L281" s="279"/>
      <c r="M281" s="279"/>
      <c r="N281" s="279"/>
    </row>
    <row r="283" spans="1:14" x14ac:dyDescent="0.2">
      <c r="B283" s="280" t="s">
        <v>663</v>
      </c>
    </row>
    <row r="285" spans="1:14" x14ac:dyDescent="0.2">
      <c r="C285" t="s">
        <v>664</v>
      </c>
      <c r="E285" s="250" t="str">
        <f>'New KR'!B29</f>
        <v>2</v>
      </c>
    </row>
    <row r="286" spans="1:14" x14ac:dyDescent="0.2">
      <c r="C286" t="s">
        <v>522</v>
      </c>
    </row>
    <row r="288" spans="1:14" x14ac:dyDescent="0.2">
      <c r="C288" t="s">
        <v>665</v>
      </c>
      <c r="D288">
        <f>C11</f>
        <v>2</v>
      </c>
    </row>
    <row r="290" spans="3:5" x14ac:dyDescent="0.2">
      <c r="D290">
        <f>D288+1</f>
        <v>3</v>
      </c>
      <c r="E290" t="s">
        <v>588</v>
      </c>
    </row>
    <row r="291" spans="3:5" x14ac:dyDescent="0.2">
      <c r="D291">
        <f>D288+1+13</f>
        <v>16</v>
      </c>
      <c r="E291" t="s">
        <v>590</v>
      </c>
    </row>
    <row r="292" spans="3:5" x14ac:dyDescent="0.2">
      <c r="C292" t="s">
        <v>597</v>
      </c>
      <c r="D292">
        <f>IF(E285="1",D290,D291)</f>
        <v>16</v>
      </c>
    </row>
    <row r="296" spans="3:5" x14ac:dyDescent="0.2">
      <c r="C296" s="251" t="str">
        <f>INDEX('back-Bandwidths'!C4:AM4,1,$D$292)</f>
        <v>2M/2M 1:1 (Belgacom ETHERNET VDSL2 Premium SLA)</v>
      </c>
    </row>
    <row r="297" spans="3:5" x14ac:dyDescent="0.2">
      <c r="C297" t="str">
        <f>INDEX('back-Bandwidths'!C5:AM5,1,$D$292)</f>
        <v>4M/4M 1:1 (Belgacom ETHERNET VDSL2 Premium SLA)</v>
      </c>
    </row>
    <row r="298" spans="3:5" x14ac:dyDescent="0.2">
      <c r="C298" t="str">
        <f>INDEX('back-Bandwidths'!C6:AM6,1,$D$292)</f>
        <v>6M/6M 1:1 (Belgacom ETHERNET VDSL2 Premium SLA)</v>
      </c>
    </row>
    <row r="299" spans="3:5" x14ac:dyDescent="0.2">
      <c r="C299" t="str">
        <f>INDEX('back-Bandwidths'!C7:AM7,1,$D$292)</f>
        <v>8M/8M 1:1 (Belgacom ETHERNET VDSL2 Premium SLA)</v>
      </c>
    </row>
    <row r="300" spans="3:5" x14ac:dyDescent="0.2">
      <c r="C300" t="str">
        <f>INDEX('back-Bandwidths'!C8:AM8,1,$D$292)</f>
        <v>10M/10M 1:1 (Belgacom ETHERNET VDSL2 Premium SLA)</v>
      </c>
    </row>
    <row r="301" spans="3:5" x14ac:dyDescent="0.2">
      <c r="C301">
        <f>INDEX('back-Bandwidths'!C9:AM9,1,$D$292)</f>
        <v>0</v>
      </c>
    </row>
    <row r="302" spans="3:5" x14ac:dyDescent="0.2">
      <c r="C302">
        <f>INDEX('back-Bandwidths'!C10:AM10,1,$D$292)</f>
        <v>0</v>
      </c>
    </row>
    <row r="303" spans="3:5" x14ac:dyDescent="0.2">
      <c r="C303">
        <f>INDEX('back-Bandwidths'!C11:AM11,1,$D$292)</f>
        <v>0</v>
      </c>
    </row>
    <row r="304" spans="3:5" x14ac:dyDescent="0.2">
      <c r="C304">
        <f>INDEX('back-Bandwidths'!C12:AM12,1,$D$292)</f>
        <v>0</v>
      </c>
    </row>
    <row r="305" spans="3:3" x14ac:dyDescent="0.2">
      <c r="C305">
        <f>INDEX('back-Bandwidths'!C13:AM13,1,$D$292)</f>
        <v>0</v>
      </c>
    </row>
    <row r="306" spans="3:3" x14ac:dyDescent="0.2">
      <c r="C306">
        <f>INDEX('back-Bandwidths'!C14:AM14,1,$D$292)</f>
        <v>0</v>
      </c>
    </row>
    <row r="307" spans="3:3" x14ac:dyDescent="0.2">
      <c r="C307">
        <f>INDEX('back-Bandwidths'!C15:AM15,1,$D$292)</f>
        <v>0</v>
      </c>
    </row>
    <row r="308" spans="3:3" x14ac:dyDescent="0.2">
      <c r="C308">
        <f>INDEX('back-Bandwidths'!C16:AM16,1,$D$292)</f>
        <v>0</v>
      </c>
    </row>
    <row r="309" spans="3:3" x14ac:dyDescent="0.2">
      <c r="C309">
        <f>INDEX('back-Bandwidths'!C17:AM17,1,$D$292)</f>
        <v>0</v>
      </c>
    </row>
    <row r="310" spans="3:3" x14ac:dyDescent="0.2">
      <c r="C310">
        <f>INDEX('back-Bandwidths'!C18:AM18,1,$D$292)</f>
        <v>0</v>
      </c>
    </row>
    <row r="311" spans="3:3" x14ac:dyDescent="0.2">
      <c r="C311">
        <f>INDEX('back-Bandwidths'!C19:AM19,1,$D$292)</f>
        <v>0</v>
      </c>
    </row>
    <row r="312" spans="3:3" x14ac:dyDescent="0.2">
      <c r="C312">
        <f>INDEX('back-Bandwidths'!C20:AM20,1,$D$292)</f>
        <v>0</v>
      </c>
    </row>
    <row r="313" spans="3:3" x14ac:dyDescent="0.2">
      <c r="C313">
        <f>INDEX('back-Bandwidths'!C21:AM21,1,$D$292)</f>
        <v>0</v>
      </c>
    </row>
    <row r="314" spans="3:3" x14ac:dyDescent="0.2">
      <c r="C314">
        <f>INDEX('back-Bandwidths'!C22:AM22,1,$D$292)</f>
        <v>0</v>
      </c>
    </row>
    <row r="315" spans="3:3" x14ac:dyDescent="0.2">
      <c r="C315">
        <f>INDEX('back-Bandwidths'!C23:AM23,1,$D$292)</f>
        <v>0</v>
      </c>
    </row>
    <row r="316" spans="3:3" x14ac:dyDescent="0.2">
      <c r="C316">
        <f>INDEX('back-Bandwidths'!C24:AM24,1,$D$292)</f>
        <v>0</v>
      </c>
    </row>
    <row r="317" spans="3:3" x14ac:dyDescent="0.2">
      <c r="C317">
        <f>INDEX('back-Bandwidths'!C25:AM25,1,$D$292)</f>
        <v>0</v>
      </c>
    </row>
    <row r="318" spans="3:3" x14ac:dyDescent="0.2">
      <c r="C318">
        <f>INDEX('back-Bandwidths'!C26:AM26,1,$D$292)</f>
        <v>0</v>
      </c>
    </row>
    <row r="319" spans="3:3" x14ac:dyDescent="0.2">
      <c r="C319">
        <f>INDEX('back-Bandwidths'!C27:AM27,1,$D$292)</f>
        <v>0</v>
      </c>
    </row>
    <row r="320" spans="3:3" x14ac:dyDescent="0.2">
      <c r="C320">
        <f>INDEX('back-Bandwidths'!C28:AM28,1,$D$292)</f>
        <v>0</v>
      </c>
    </row>
    <row r="321" spans="3:3" x14ac:dyDescent="0.2">
      <c r="C321">
        <f>INDEX('back-Bandwidths'!C29:AM29,1,$D$292)</f>
        <v>0</v>
      </c>
    </row>
    <row r="322" spans="3:3" x14ac:dyDescent="0.2">
      <c r="C322">
        <f>INDEX('back-Bandwidths'!C30:AM30,1,$D$292)</f>
        <v>0</v>
      </c>
    </row>
    <row r="323" spans="3:3" x14ac:dyDescent="0.2">
      <c r="C323">
        <f>INDEX('back-Bandwidths'!C31:AM31,1,$D$292)</f>
        <v>0</v>
      </c>
    </row>
    <row r="324" spans="3:3" x14ac:dyDescent="0.2">
      <c r="C324">
        <f>INDEX('back-Bandwidths'!C32:AM32,1,$D$292)</f>
        <v>0</v>
      </c>
    </row>
    <row r="325" spans="3:3" x14ac:dyDescent="0.2">
      <c r="C325">
        <f>INDEX('back-Bandwidths'!C33:AM33,1,$D$292)</f>
        <v>0</v>
      </c>
    </row>
    <row r="326" spans="3:3" x14ac:dyDescent="0.2">
      <c r="C326">
        <f>INDEX('back-Bandwidths'!C34:AM34,1,$D$292)</f>
        <v>0</v>
      </c>
    </row>
    <row r="327" spans="3:3" x14ac:dyDescent="0.2">
      <c r="C327">
        <f>INDEX('back-Bandwidths'!C35:AM35,1,$D$292)</f>
        <v>0</v>
      </c>
    </row>
    <row r="328" spans="3:3" x14ac:dyDescent="0.2">
      <c r="C328">
        <f>INDEX('back-Bandwidths'!C36:AM36,1,$D$292)</f>
        <v>0</v>
      </c>
    </row>
    <row r="329" spans="3:3" x14ac:dyDescent="0.2">
      <c r="C329">
        <f>INDEX('back-Bandwidths'!C37:AM37,1,$D$292)</f>
        <v>0</v>
      </c>
    </row>
    <row r="330" spans="3:3" x14ac:dyDescent="0.2">
      <c r="C330">
        <f>INDEX('back-Bandwidths'!C38:AM38,1,$D$292)</f>
        <v>0</v>
      </c>
    </row>
    <row r="331" spans="3:3" x14ac:dyDescent="0.2">
      <c r="C331">
        <f>INDEX('back-Bandwidths'!C39:AM39,1,$D$292)</f>
        <v>0</v>
      </c>
    </row>
    <row r="332" spans="3:3" x14ac:dyDescent="0.2">
      <c r="C332">
        <f>INDEX('back-Bandwidths'!C40:AM40,1,$D$292)</f>
        <v>0</v>
      </c>
    </row>
    <row r="333" spans="3:3" x14ac:dyDescent="0.2">
      <c r="C333">
        <f>INDEX('back-Bandwidths'!C41:AM41,1,$D$292)</f>
        <v>0</v>
      </c>
    </row>
    <row r="334" spans="3:3" x14ac:dyDescent="0.2">
      <c r="C334">
        <f>INDEX('back-Bandwidths'!C42:AM42,1,$D$292)</f>
        <v>0</v>
      </c>
    </row>
    <row r="335" spans="3:3" x14ac:dyDescent="0.2">
      <c r="C335">
        <f>INDEX('back-Bandwidths'!C43:AM43,1,$D$292)</f>
        <v>0</v>
      </c>
    </row>
    <row r="336" spans="3:3" x14ac:dyDescent="0.2">
      <c r="C336">
        <f>INDEX('back-Bandwidths'!C44:AM44,1,$D$292)</f>
        <v>0</v>
      </c>
    </row>
    <row r="337" spans="3:3" x14ac:dyDescent="0.2">
      <c r="C337">
        <f>INDEX('back-Bandwidths'!C45:AM45,1,$D$292)</f>
        <v>0</v>
      </c>
    </row>
    <row r="338" spans="3:3" x14ac:dyDescent="0.2">
      <c r="C338">
        <f>INDEX('back-Bandwidths'!C46:AM46,1,$D$292)</f>
        <v>0</v>
      </c>
    </row>
    <row r="339" spans="3:3" x14ac:dyDescent="0.2">
      <c r="C339">
        <f>INDEX('back-Bandwidths'!C47:AM47,1,$D$292)</f>
        <v>0</v>
      </c>
    </row>
    <row r="340" spans="3:3" x14ac:dyDescent="0.2">
      <c r="C340">
        <f>INDEX('back-Bandwidths'!C48:AM48,1,$D$292)</f>
        <v>0</v>
      </c>
    </row>
    <row r="341" spans="3:3" x14ac:dyDescent="0.2">
      <c r="C341">
        <f>INDEX('back-Bandwidths'!C49:AM49,1,$D$292)</f>
        <v>0</v>
      </c>
    </row>
    <row r="342" spans="3:3" x14ac:dyDescent="0.2">
      <c r="C342">
        <f>INDEX('back-Bandwidths'!C50:AM50,1,$D$292)</f>
        <v>0</v>
      </c>
    </row>
    <row r="343" spans="3:3" x14ac:dyDescent="0.2">
      <c r="C343">
        <f>INDEX('back-Bandwidths'!C51:AM51,1,$D$292)</f>
        <v>0</v>
      </c>
    </row>
    <row r="344" spans="3:3" x14ac:dyDescent="0.2">
      <c r="C344">
        <f>INDEX('back-Bandwidths'!C52:AM52,1,$D$292)</f>
        <v>0</v>
      </c>
    </row>
    <row r="345" spans="3:3" x14ac:dyDescent="0.2">
      <c r="C345">
        <f>INDEX('back-Bandwidths'!C53:AM53,1,$D$292)</f>
        <v>0</v>
      </c>
    </row>
    <row r="346" spans="3:3" x14ac:dyDescent="0.2">
      <c r="C346">
        <f>INDEX('back-Bandwidths'!C54:AM54,1,$D$292)</f>
        <v>0</v>
      </c>
    </row>
    <row r="347" spans="3:3" x14ac:dyDescent="0.2">
      <c r="C347">
        <f>INDEX('back-Bandwidths'!C55:AM55,1,$D$292)</f>
        <v>0</v>
      </c>
    </row>
    <row r="348" spans="3:3" x14ac:dyDescent="0.2">
      <c r="C348">
        <f>INDEX('back-Bandwidths'!C56:AM56,1,$D$292)</f>
        <v>0</v>
      </c>
    </row>
    <row r="349" spans="3:3" x14ac:dyDescent="0.2">
      <c r="C349">
        <f>INDEX('back-Bandwidths'!C57:AM57,1,$D$292)</f>
        <v>0</v>
      </c>
    </row>
    <row r="350" spans="3:3" x14ac:dyDescent="0.2">
      <c r="C350">
        <f>INDEX('back-Bandwidths'!C58:AM58,1,$D$292)</f>
        <v>0</v>
      </c>
    </row>
    <row r="351" spans="3:3" x14ac:dyDescent="0.2">
      <c r="C351">
        <f>INDEX('back-Bandwidths'!C59:AM59,1,$D$292)</f>
        <v>0</v>
      </c>
    </row>
    <row r="352" spans="3:3" x14ac:dyDescent="0.2">
      <c r="C352">
        <f>INDEX('back-Bandwidths'!C60:AM60,1,$D$292)</f>
        <v>0</v>
      </c>
    </row>
    <row r="353" spans="3:3" x14ac:dyDescent="0.2">
      <c r="C353">
        <f>INDEX('back-Bandwidths'!C61:AM61,1,$D$292)</f>
        <v>0</v>
      </c>
    </row>
    <row r="354" spans="3:3" x14ac:dyDescent="0.2">
      <c r="C354">
        <f>INDEX('back-Bandwidths'!C62:AM62,1,$D$292)</f>
        <v>0</v>
      </c>
    </row>
    <row r="355" spans="3:3" x14ac:dyDescent="0.2">
      <c r="C355">
        <f>INDEX('back-Bandwidths'!C63:AM63,1,$D$292)</f>
        <v>0</v>
      </c>
    </row>
    <row r="356" spans="3:3" x14ac:dyDescent="0.2">
      <c r="C356">
        <f>INDEX('back-Bandwidths'!C64:AM64,1,$D$292)</f>
        <v>0</v>
      </c>
    </row>
    <row r="362" spans="3:3" x14ac:dyDescent="0.2">
      <c r="C362" s="277">
        <f>C11</f>
        <v>2</v>
      </c>
    </row>
    <row r="363" spans="3:3" x14ac:dyDescent="0.2">
      <c r="C363" s="277">
        <f>IF(OR(back!E285=1,back!E285=2),back!E285-1,100)</f>
        <v>100</v>
      </c>
    </row>
    <row r="364" spans="3:3" x14ac:dyDescent="0.2">
      <c r="C364" s="278">
        <f>INDEX('back DSL'!B3:IF3,1,2*$C$362-2+$C$363)</f>
        <v>0</v>
      </c>
    </row>
    <row r="365" spans="3:3" x14ac:dyDescent="0.2">
      <c r="C365" s="278">
        <f>INDEX('back DSL'!B4:IF4,1,2*$C$362-2+$C$363)</f>
        <v>0</v>
      </c>
    </row>
    <row r="366" spans="3:3" x14ac:dyDescent="0.2">
      <c r="C366" s="278">
        <f>INDEX('back DSL'!B5:IF5,1,2*$C$362-2+$C$363)</f>
        <v>0</v>
      </c>
    </row>
    <row r="367" spans="3:3" x14ac:dyDescent="0.2">
      <c r="C367" s="278">
        <f>INDEX('back DSL'!B6:IF6,1,2*$C$362-2+$C$363)</f>
        <v>0</v>
      </c>
    </row>
    <row r="368" spans="3:3" x14ac:dyDescent="0.2">
      <c r="C368" s="278">
        <f>INDEX('back DSL'!B7:IF7,1,2*$C$362-2+$C$363)</f>
        <v>0</v>
      </c>
    </row>
    <row r="369" spans="3:3" x14ac:dyDescent="0.2">
      <c r="C369" s="278">
        <f>INDEX('back DSL'!B8:IF8,1,2*$C$362-2+$C$363)</f>
        <v>0</v>
      </c>
    </row>
    <row r="370" spans="3:3" x14ac:dyDescent="0.2">
      <c r="C370" s="278">
        <f>INDEX('back DSL'!B9:IF9,1,2*$C$362-2+$C$363)</f>
        <v>0</v>
      </c>
    </row>
    <row r="371" spans="3:3" x14ac:dyDescent="0.2">
      <c r="C371" s="278">
        <f>INDEX('back DSL'!B10:IF10,1,2*$C$362-2+$C$363)</f>
        <v>0</v>
      </c>
    </row>
    <row r="372" spans="3:3" x14ac:dyDescent="0.2">
      <c r="C372" s="278">
        <f>INDEX('back DSL'!B11:IF11,1,2*$C$362-2+$C$363)</f>
        <v>0</v>
      </c>
    </row>
  </sheetData>
  <pageMargins left="0.75" right="0.75" top="1" bottom="1"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zoomScaleNormal="100" workbookViewId="0">
      <selection activeCell="J73" sqref="J73"/>
    </sheetView>
  </sheetViews>
  <sheetFormatPr defaultRowHeight="12.75" x14ac:dyDescent="0.2"/>
  <cols>
    <col min="1" max="1" width="8.5703125"/>
    <col min="2" max="2" width="30.28515625"/>
    <col min="3" max="4" width="8.5703125"/>
    <col min="5" max="5" width="17.140625"/>
    <col min="6" max="8" width="8.5703125"/>
    <col min="9" max="9" width="77"/>
    <col min="10" max="10" width="46.5703125"/>
    <col min="11" max="11" width="20.42578125"/>
    <col min="12" max="1025" width="8.5703125"/>
  </cols>
  <sheetData>
    <row r="1" spans="1:10" x14ac:dyDescent="0.2">
      <c r="A1">
        <v>1</v>
      </c>
      <c r="B1" s="40" t="s">
        <v>666</v>
      </c>
      <c r="C1" s="40" t="s">
        <v>667</v>
      </c>
    </row>
    <row r="4" spans="1:10" x14ac:dyDescent="0.2">
      <c r="B4" s="40">
        <f>IF(Site!J73=back!B11, 1, IF(Site!J73=back!B12,2, IF(Site!J73=back!B13,3, IF(Site!J73=back!B14,4, IF(Site!J73=back!B15, 5)))))</f>
        <v>2</v>
      </c>
      <c r="C4">
        <f>B4+B5+B6</f>
        <v>2</v>
      </c>
      <c r="E4" s="252"/>
      <c r="H4" s="40"/>
      <c r="J4" s="40"/>
    </row>
    <row r="5" spans="1:10" x14ac:dyDescent="0.2">
      <c r="B5" s="40" t="b">
        <f>IF(Site!J73=back!B16, 6, IF(Site!J73=back!B17,7, IF(Site!J73=back!B18,8, IF(Site!J73=back!B19,9, IF(Site!J73=back!B20, 10)))))</f>
        <v>0</v>
      </c>
      <c r="E5" s="252"/>
      <c r="H5" s="40" t="str">
        <f>IF(H8="","NO","YES")</f>
        <v>YES</v>
      </c>
    </row>
    <row r="6" spans="1:10" x14ac:dyDescent="0.2">
      <c r="B6" s="40" t="b">
        <f>IF(Site!J73=back!B21, 11, IF(Site!J73=back!B22,12, IF(Site!J73=back!B23,13, IF(Site!J73=back!B24,14, IF(Site!J73=back!B25, 15)))))</f>
        <v>0</v>
      </c>
      <c r="E6" s="252"/>
    </row>
    <row r="7" spans="1:10" x14ac:dyDescent="0.2">
      <c r="E7" s="252"/>
    </row>
    <row r="8" spans="1:10" x14ac:dyDescent="0.2">
      <c r="A8">
        <v>2</v>
      </c>
      <c r="B8" s="40" t="s">
        <v>103</v>
      </c>
      <c r="C8" s="40" t="s">
        <v>668</v>
      </c>
      <c r="E8" s="252"/>
      <c r="H8" t="s">
        <v>669</v>
      </c>
    </row>
    <row r="9" spans="1:10" x14ac:dyDescent="0.2">
      <c r="E9" s="252"/>
    </row>
    <row r="10" spans="1:10" x14ac:dyDescent="0.2">
      <c r="B10">
        <f>IF(Site!J106=back!B4, 1, IF(Site!J106=back!B5,2, IF(Site!J106=back!B6,3, IF(Site!J106=back!B8,4, IF(Site!J106=back!B9, 5,IF(Site!J106=back!B10,6,IF(Site!J106=back!B7,7)))))))</f>
        <v>1</v>
      </c>
      <c r="E10" s="252"/>
    </row>
    <row r="11" spans="1:10" x14ac:dyDescent="0.2">
      <c r="E11" s="252"/>
    </row>
    <row r="12" spans="1:10" x14ac:dyDescent="0.2">
      <c r="A12">
        <v>3</v>
      </c>
      <c r="B12" s="40" t="s">
        <v>105</v>
      </c>
      <c r="C12" s="40" t="s">
        <v>670</v>
      </c>
      <c r="E12" s="252"/>
    </row>
    <row r="13" spans="1:10" x14ac:dyDescent="0.2">
      <c r="E13" s="252"/>
    </row>
    <row r="14" spans="1:10" x14ac:dyDescent="0.2">
      <c r="B14">
        <f>IF(Site!J110=back!B30, 1, IF(Site!J110=back!B31,2, IF(Site!J110=back!B32,3, IF(Site!J110=back!B33,4, IF(Site!J110=back!B34, 5,0)))))</f>
        <v>0</v>
      </c>
      <c r="C14">
        <f>B14+B15+B16+B17+B18+B19+B20+B21+B22+B23+B24+B25</f>
        <v>30</v>
      </c>
      <c r="E14" s="252"/>
    </row>
    <row r="15" spans="1:10" x14ac:dyDescent="0.2">
      <c r="B15" t="b">
        <f>IF(Site!$J$110=back!B35, 10, IF(Site!$J$110=back!B36,12, IF(Site!$J$110=back!B37,13, IF(Site!$J$110=back!B38,14, IF(Site!$J$110=back!B39,15)))))</f>
        <v>0</v>
      </c>
      <c r="E15" s="252"/>
    </row>
    <row r="16" spans="1:10" x14ac:dyDescent="0.2">
      <c r="B16" t="b">
        <f>IF(Site!$J$110=back!B40, 16, IF(Site!$J$110=back!B41,17, IF(Site!$J$110=back!B42,18, IF(Site!$J$110=back!B43,19, IF(Site!$J$110=back!B44,20)))))</f>
        <v>0</v>
      </c>
      <c r="E16" s="252"/>
    </row>
    <row r="17" spans="1:5" x14ac:dyDescent="0.2">
      <c r="B17" t="b">
        <f>IF(Site!$J$110=back!B45, 21, IF(Site!$J$110=back!B46,22, IF(Site!$J$110=back!B47,23, IF(Site!$J$110=back!B48,24, IF(Site!$J$110=back!B49,25)))))</f>
        <v>0</v>
      </c>
      <c r="E17" s="252"/>
    </row>
    <row r="18" spans="1:5" x14ac:dyDescent="0.2">
      <c r="B18">
        <f>IF(Site!$J$110=back!B50, 26, IF(Site!$J$110=back!B51,27, IF(Site!$J$110=back!B52,28, IF(Site!$J$110=back!B53,29, IF(Site!$J$110=back!B54,30)))))</f>
        <v>30</v>
      </c>
    </row>
    <row r="19" spans="1:5" x14ac:dyDescent="0.2">
      <c r="B19" t="b">
        <f>IF(Site!$J$110=back!B55, 31, IF(Site!$J$110=back!B56,32, IF(Site!$J$110=back!B57,33, IF(Site!$J$110=back!B58,34, IF(Site!$J$110=back!B59,35)))))</f>
        <v>0</v>
      </c>
    </row>
    <row r="20" spans="1:5" x14ac:dyDescent="0.2">
      <c r="B20" t="b">
        <f>IF(Site!$J$110=back!B60, 36, IF(Site!$J$110=back!B61,37, IF(Site!$J$110=back!B62,38, IF(Site!$J$110=back!B63,39, IF(Site!$J$110=back!B64,40)))))</f>
        <v>0</v>
      </c>
    </row>
    <row r="21" spans="1:5" x14ac:dyDescent="0.2">
      <c r="B21" t="b">
        <f>IF(Site!$J$110=back!B65, 41, IF(Site!$J$110=back!B66,42, IF(Site!$J$110=back!B67,43, IF(Site!$J$110=back!B68,44, IF(Site!$J$110=back!B69,45)))))</f>
        <v>0</v>
      </c>
    </row>
    <row r="22" spans="1:5" x14ac:dyDescent="0.2">
      <c r="B22" t="b">
        <f>IF(Site!$J$110=back!B70, 46, IF(Site!$J$110=back!B71,47, IF(Site!$J$110=back!B72,48, IF(Site!$J$110=back!B73,49, IF(Site!$J$110=back!B74,50)))))</f>
        <v>0</v>
      </c>
    </row>
    <row r="23" spans="1:5" x14ac:dyDescent="0.2">
      <c r="B23" t="b">
        <f>IF(Site!$J$110=back!B76, 51, IF(Site!$J$110=back!B77,52, IF(Site!$J$110=back!B78,53, IF(Site!$J$110=back!B79,54, IF(Site!$J$110=back!B80,55)))))</f>
        <v>0</v>
      </c>
    </row>
    <row r="24" spans="1:5" x14ac:dyDescent="0.2">
      <c r="B24" t="b">
        <f>IF(Site!$J$110=back!B82, 56, IF(Site!$J$110=back!B83,57, IF(Site!$J$110=back!B84,58, IF(Site!$J$110=back!B85,59, IF(Site!$J$110=back!B86,60)))))</f>
        <v>0</v>
      </c>
    </row>
    <row r="25" spans="1:5" x14ac:dyDescent="0.2">
      <c r="B25" t="b">
        <f>IF(Site!$J$110=back!B88, 61, IF(Site!$J$110=back!B89,62, IF(Site!$J$110=back!B90,63, IF(Site!$J$110=back!B91,64))))</f>
        <v>0</v>
      </c>
    </row>
    <row r="27" spans="1:5" x14ac:dyDescent="0.2">
      <c r="A27">
        <v>4</v>
      </c>
      <c r="B27" s="40" t="s">
        <v>671</v>
      </c>
      <c r="C27" s="40" t="s">
        <v>672</v>
      </c>
    </row>
    <row r="29" spans="1:5" x14ac:dyDescent="0.2">
      <c r="B29" s="251" t="str">
        <f>IF(Site!M245=back!C285, "1", "2")</f>
        <v>2</v>
      </c>
    </row>
    <row r="31" spans="1:5" x14ac:dyDescent="0.2">
      <c r="A31">
        <v>5</v>
      </c>
      <c r="B31" s="40" t="s">
        <v>673</v>
      </c>
      <c r="C31" s="40" t="s">
        <v>674</v>
      </c>
    </row>
    <row r="33" spans="1:3" x14ac:dyDescent="0.2">
      <c r="B33" t="b">
        <f>IF(Site!N301=back!B4, 1, IF(Site!N301=back!B5,2, IF(Site!N301=back!B6,3, IF(Site!N301=back!B8,4, IF(Site!N301=back!B9, 5)))))</f>
        <v>0</v>
      </c>
    </row>
    <row r="35" spans="1:3" x14ac:dyDescent="0.2">
      <c r="A35">
        <v>6</v>
      </c>
      <c r="B35" t="s">
        <v>675</v>
      </c>
      <c r="C35" t="s">
        <v>676</v>
      </c>
    </row>
    <row r="37" spans="1:3" x14ac:dyDescent="0.2">
      <c r="B37" t="e">
        <f>IF(Site!$N$303=back!B180, 1, IF(Site!$N$303=back!B181,2, IF(Site!$N$303=back!B182,3, IF(Site!$N$303=back!B183,4, IF(Site!$N$303=back!B184, 5)))))</f>
        <v>#VALUE!</v>
      </c>
      <c r="C37" t="e">
        <f>B37+B38+B39+B40+B41+B42+B43+B44+B45+B46+B47</f>
        <v>#VALUE!</v>
      </c>
    </row>
    <row r="38" spans="1:3" x14ac:dyDescent="0.2">
      <c r="B38" t="e">
        <f>IF(Site!$N$303=back!B185, 6, IF(Site!$N$303=back!B186,7, IF(Site!$N$303=back!B187,8, IF(Site!$N$303=back!B188,9, IF(Site!$N$303=back!B189,10 )))))</f>
        <v>#VALUE!</v>
      </c>
    </row>
    <row r="39" spans="1:3" x14ac:dyDescent="0.2">
      <c r="B39" t="e">
        <f>IF(Site!$N$303=back!B190, 11, IF(Site!$N$303=back!B191,12, IF(Site!$N$303=back!B192,13, IF(Site!$N$303=back!B193,14, IF(Site!$N$303=back!B194,15 )))))</f>
        <v>#VALUE!</v>
      </c>
    </row>
    <row r="40" spans="1:3" x14ac:dyDescent="0.2">
      <c r="B40" t="e">
        <f>IF(Site!$N$303=back!B195, 16, IF(Site!$N$303=back!B196,17, IF(Site!$N$303=back!B197,18, IF(Site!$N$303=back!B198,19, IF(Site!$N$303=back!B199,20 )))))</f>
        <v>#VALUE!</v>
      </c>
    </row>
    <row r="41" spans="1:3" x14ac:dyDescent="0.2">
      <c r="B41" t="e">
        <f>IF(Site!$N$303=back!B200, 21, IF(Site!$N$303=back!B201,22, IF(Site!$N$303=back!B202,23, IF(Site!$N$303=back!B203,24, IF(Site!$N$303=back!B204,25 )))))</f>
        <v>#VALUE!</v>
      </c>
    </row>
    <row r="42" spans="1:3" x14ac:dyDescent="0.2">
      <c r="B42" t="e">
        <f>IF(Site!$N$303=back!B205, 26, IF(Site!$N$303=back!B206,27, IF(Site!$N$303=back!B207,28, IF(Site!$N$303=back!B208,29, IF(Site!$N$303=back!B209,30 )))))</f>
        <v>#VALUE!</v>
      </c>
    </row>
    <row r="43" spans="1:3" x14ac:dyDescent="0.2">
      <c r="B43" t="e">
        <f>IF(Site!$N$303=back!B210, 31, IF(Site!$N$303=back!B211,32, IF(Site!$N$303=back!B212,33, IF(Site!$N$303=back!B213,34, IF(Site!$N$303=back!B214,35 )))))</f>
        <v>#VALUE!</v>
      </c>
    </row>
    <row r="44" spans="1:3" x14ac:dyDescent="0.2">
      <c r="B44" t="e">
        <f>IF(Site!$N$303=back!B215, 36, IF(Site!$N$303=back!B216,37, IF(Site!$N$303=back!B217,38, IF(Site!$N$303=back!B218,39, IF(Site!$N$303=back!B219,40 )))))</f>
        <v>#VALUE!</v>
      </c>
    </row>
    <row r="45" spans="1:3" x14ac:dyDescent="0.2">
      <c r="B45" t="e">
        <f>IF(Site!$N$303=back!B220, 41, IF(Site!$N$303=back!B221,42, IF(Site!$N$303=back!B222,43, IF(Site!$N$303=back!B223,44, IF(Site!$N$303=back!B224,45 )))))</f>
        <v>#VALUE!</v>
      </c>
    </row>
    <row r="46" spans="1:3" x14ac:dyDescent="0.2">
      <c r="B46" t="e">
        <f>IF(Site!$N$303=back!B225, 46, IF(Site!$N$303=back!B226,47, IF(Site!$N$303=back!B227,48, IF(Site!$N$303=back!B228,49, IF(Site!$N$303=back!B229,50 )))))</f>
        <v>#VALUE!</v>
      </c>
    </row>
    <row r="47" spans="1:3" x14ac:dyDescent="0.2">
      <c r="B47" t="e">
        <f>IF(Site!$N$303=back!B230, 52, IF(Site!$N$303=back!B231,53))</f>
        <v>#VALUE!</v>
      </c>
    </row>
    <row r="49" spans="1:11" x14ac:dyDescent="0.2">
      <c r="A49">
        <v>7</v>
      </c>
      <c r="B49" s="40" t="s">
        <v>677</v>
      </c>
      <c r="C49" s="40" t="s">
        <v>678</v>
      </c>
    </row>
    <row r="52" spans="1:11" x14ac:dyDescent="0.2">
      <c r="B52" s="40" t="b">
        <f>IF(Site!L284=back!J165, 1, IF(Site!L284=back!J166,2, IF(Site!L284=back!J167,3, IF(Site!L284=back!J168,4, IF(Site!L284=back!J169, 5)))))</f>
        <v>0</v>
      </c>
      <c r="C52">
        <f>B52+B53+B54</f>
        <v>0</v>
      </c>
    </row>
    <row r="53" spans="1:11" x14ac:dyDescent="0.2">
      <c r="B53" s="40" t="b">
        <f>IF(Site!L284=back!J170, 6, IF(Site!L284=back!J171,7, IF(Site!L284=back!J172,8, IF(Site!L284=back!J173,9, IF(Site!L284=back!J174, 10)))))</f>
        <v>0</v>
      </c>
    </row>
    <row r="54" spans="1:11" x14ac:dyDescent="0.2">
      <c r="B54" s="40" t="b">
        <f>IF(Site!L284=back!J175, 11, IF(Site!L284=back!J175,12, IF(Site!L284=back!J175,13, IF(Site!L284=back!J175,14, IF(Site!L284=back!J175, 15)))))</f>
        <v>0</v>
      </c>
    </row>
    <row r="56" spans="1:11" x14ac:dyDescent="0.2">
      <c r="A56">
        <v>8</v>
      </c>
      <c r="B56" s="40" t="s">
        <v>679</v>
      </c>
      <c r="C56" s="40" t="s">
        <v>680</v>
      </c>
    </row>
    <row r="58" spans="1:11" x14ac:dyDescent="0.2">
      <c r="B58" t="b">
        <f>IF(Site!$L$598=back!K11, 1, IF(Site!$L$598=back!K12,2, IF(Site!$L$598=back!K13,3, IF(Site!$L$598=back!K14,4, IF(Site!$L$598=back!K15, 5)))))</f>
        <v>0</v>
      </c>
      <c r="C58">
        <f>B58+B59+B60+B61+B62+B63</f>
        <v>0</v>
      </c>
    </row>
    <row r="59" spans="1:11" x14ac:dyDescent="0.2">
      <c r="B59" t="b">
        <f>IF(Site!$L$598=back!K16, 6, IF(Site!$L$598=back!K17,7, IF(Site!$L$598=back!K18,8, IF(Site!$L$598=back!K19,9, IF(Site!$L$598=back!K20, 10)))))</f>
        <v>0</v>
      </c>
    </row>
    <row r="60" spans="1:11" x14ac:dyDescent="0.2">
      <c r="B60" t="b">
        <f>IF(Site!$L$598=back!K21, 11, IF(Site!$L$598=back!K22,12, IF(Site!$L$598=back!K23,13, IF(Site!$L$598=back!K24,14, IF(Site!$L$598=back!K25, 15)))))</f>
        <v>0</v>
      </c>
    </row>
    <row r="61" spans="1:11" x14ac:dyDescent="0.2">
      <c r="B61" t="b">
        <f>IF(Site!$L$598=back!K26, 16, IF(Site!$L$598=back!K27,17, IF(Site!$L$598=back!K28,18, IF(Site!$L$598=back!K29,19, IF(Site!$L$598=back!K30, 20)))))</f>
        <v>0</v>
      </c>
    </row>
    <row r="62" spans="1:11" x14ac:dyDescent="0.2">
      <c r="B62" t="b">
        <f>IF(Site!$L$598=back!K31, 21, IF(Site!$L$598=back!K32,22, IF(Site!$L$598=back!K33,23, IF(Site!$L$598=back!K34,24, IF(Site!$L$598=back!K35, 25)))))</f>
        <v>0</v>
      </c>
    </row>
    <row r="63" spans="1:11" x14ac:dyDescent="0.2">
      <c r="B63" t="b">
        <f>IF(Site!$L$598=back!K36, 26, IF(Site!$L$598=back!K37,27, IF(Site!$L$598=back!K38,28)))</f>
        <v>0</v>
      </c>
    </row>
    <row r="64" spans="1:11" x14ac:dyDescent="0.2">
      <c r="C64" t="s">
        <v>681</v>
      </c>
      <c r="K64" s="255" t="s">
        <v>682</v>
      </c>
    </row>
    <row r="65" spans="1:25" x14ac:dyDescent="0.2">
      <c r="C65" t="s">
        <v>683</v>
      </c>
    </row>
    <row r="66" spans="1:25" x14ac:dyDescent="0.2">
      <c r="A66">
        <v>9</v>
      </c>
      <c r="B66" t="s">
        <v>527</v>
      </c>
      <c r="C66" t="s">
        <v>684</v>
      </c>
      <c r="Y66" s="255" t="s">
        <v>685</v>
      </c>
    </row>
    <row r="67" spans="1:25" x14ac:dyDescent="0.2">
      <c r="B67" t="e">
        <f>H70</f>
        <v>#N/A</v>
      </c>
      <c r="F67" t="s">
        <v>686</v>
      </c>
      <c r="H67" t="e">
        <f>H68</f>
        <v>#N/A</v>
      </c>
    </row>
    <row r="68" spans="1:25" x14ac:dyDescent="0.2">
      <c r="B68" s="40" t="s">
        <v>687</v>
      </c>
      <c r="C68" s="255" t="s">
        <v>688</v>
      </c>
      <c r="F68" t="s">
        <v>689</v>
      </c>
      <c r="H68" t="e">
        <f>H70</f>
        <v>#N/A</v>
      </c>
    </row>
    <row r="69" spans="1:25" x14ac:dyDescent="0.2">
      <c r="F69" t="s">
        <v>690</v>
      </c>
    </row>
    <row r="70" spans="1:25" x14ac:dyDescent="0.2">
      <c r="F70" t="s">
        <v>691</v>
      </c>
      <c r="H70" s="269" t="e">
        <f>VLOOKUP(Site!J108,F81:G93,2,0)</f>
        <v>#N/A</v>
      </c>
      <c r="I70" t="s">
        <v>692</v>
      </c>
    </row>
    <row r="71" spans="1:25" x14ac:dyDescent="0.2">
      <c r="F71" t="s">
        <v>693</v>
      </c>
    </row>
    <row r="72" spans="1:25" x14ac:dyDescent="0.2">
      <c r="F72" t="s">
        <v>694</v>
      </c>
    </row>
    <row r="73" spans="1:25" x14ac:dyDescent="0.2">
      <c r="F73" t="s">
        <v>695</v>
      </c>
    </row>
    <row r="74" spans="1:25" x14ac:dyDescent="0.2">
      <c r="F74" t="s">
        <v>696</v>
      </c>
    </row>
    <row r="75" spans="1:25" x14ac:dyDescent="0.2">
      <c r="F75" t="s">
        <v>697</v>
      </c>
    </row>
    <row r="76" spans="1:25" x14ac:dyDescent="0.2">
      <c r="F76" t="s">
        <v>698</v>
      </c>
    </row>
    <row r="77" spans="1:25" x14ac:dyDescent="0.2">
      <c r="F77" t="s">
        <v>699</v>
      </c>
    </row>
    <row r="81" spans="1:10" x14ac:dyDescent="0.2">
      <c r="E81" s="256" t="s">
        <v>700</v>
      </c>
      <c r="F81" s="256" t="s">
        <v>534</v>
      </c>
      <c r="G81" s="256">
        <v>1</v>
      </c>
      <c r="I81" s="269">
        <f>Site!J108</f>
        <v>0</v>
      </c>
      <c r="J81" t="s">
        <v>701</v>
      </c>
    </row>
    <row r="82" spans="1:10" x14ac:dyDescent="0.2">
      <c r="E82" s="256" t="s">
        <v>702</v>
      </c>
      <c r="F82" s="256" t="s">
        <v>538</v>
      </c>
      <c r="G82" s="256">
        <v>1</v>
      </c>
    </row>
    <row r="83" spans="1:10" x14ac:dyDescent="0.2">
      <c r="E83" s="256" t="s">
        <v>703</v>
      </c>
      <c r="F83" s="256" t="s">
        <v>542</v>
      </c>
      <c r="G83" s="256">
        <v>28</v>
      </c>
    </row>
    <row r="84" spans="1:10" x14ac:dyDescent="0.2">
      <c r="E84" s="256" t="s">
        <v>704</v>
      </c>
      <c r="F84" s="256" t="s">
        <v>548</v>
      </c>
      <c r="G84" s="256">
        <v>29</v>
      </c>
    </row>
    <row r="85" spans="1:10" x14ac:dyDescent="0.2">
      <c r="A85">
        <v>10</v>
      </c>
      <c r="B85" t="s">
        <v>705</v>
      </c>
      <c r="E85" s="256" t="s">
        <v>706</v>
      </c>
      <c r="F85" s="256" t="s">
        <v>551</v>
      </c>
      <c r="G85" s="256">
        <v>30</v>
      </c>
    </row>
    <row r="86" spans="1:10" x14ac:dyDescent="0.2">
      <c r="B86">
        <f>IF(Site!J108=back!Y11,1,IF(Site!J108=back!Y12,2,0))</f>
        <v>0</v>
      </c>
      <c r="C86" t="s">
        <v>707</v>
      </c>
      <c r="E86" s="256" t="s">
        <v>708</v>
      </c>
      <c r="F86" s="256" t="s">
        <v>554</v>
      </c>
      <c r="G86" s="256">
        <v>31</v>
      </c>
    </row>
    <row r="87" spans="1:10" x14ac:dyDescent="0.2">
      <c r="E87" s="256" t="s">
        <v>709</v>
      </c>
      <c r="F87" s="256" t="s">
        <v>557</v>
      </c>
      <c r="G87" s="256">
        <v>32</v>
      </c>
    </row>
    <row r="88" spans="1:10" x14ac:dyDescent="0.2">
      <c r="E88" s="256" t="s">
        <v>710</v>
      </c>
      <c r="F88" s="256" t="s">
        <v>560</v>
      </c>
      <c r="G88" s="256">
        <v>1</v>
      </c>
    </row>
    <row r="89" spans="1:10" x14ac:dyDescent="0.2">
      <c r="E89" s="256" t="s">
        <v>711</v>
      </c>
      <c r="F89" s="256" t="s">
        <v>564</v>
      </c>
      <c r="G89" s="256">
        <v>33</v>
      </c>
    </row>
    <row r="90" spans="1:10" x14ac:dyDescent="0.2">
      <c r="E90" s="256" t="s">
        <v>712</v>
      </c>
      <c r="F90" s="256" t="s">
        <v>568</v>
      </c>
      <c r="G90" s="256">
        <v>34</v>
      </c>
    </row>
    <row r="91" spans="1:10" x14ac:dyDescent="0.2">
      <c r="E91" s="256" t="s">
        <v>713</v>
      </c>
      <c r="F91" s="256" t="s">
        <v>572</v>
      </c>
      <c r="G91" s="256">
        <v>35</v>
      </c>
    </row>
    <row r="92" spans="1:10" x14ac:dyDescent="0.2">
      <c r="E92" s="256" t="s">
        <v>714</v>
      </c>
      <c r="F92" s="256" t="s">
        <v>577</v>
      </c>
      <c r="G92" s="256">
        <v>38</v>
      </c>
    </row>
    <row r="93" spans="1:10" x14ac:dyDescent="0.2">
      <c r="E93" s="256" t="s">
        <v>715</v>
      </c>
      <c r="F93" s="256" t="s">
        <v>583</v>
      </c>
      <c r="G93" s="256">
        <v>44</v>
      </c>
    </row>
    <row r="97" spans="1:15" x14ac:dyDescent="0.2">
      <c r="D97" s="40" t="s">
        <v>48</v>
      </c>
      <c r="E97" s="40" t="s">
        <v>716</v>
      </c>
      <c r="F97" s="40" t="s">
        <v>717</v>
      </c>
      <c r="I97" s="270" t="s">
        <v>718</v>
      </c>
      <c r="J97" s="270" t="s">
        <v>69</v>
      </c>
      <c r="K97" t="s">
        <v>719</v>
      </c>
      <c r="L97" t="s">
        <v>720</v>
      </c>
      <c r="M97" t="s">
        <v>721</v>
      </c>
      <c r="N97" t="s">
        <v>722</v>
      </c>
      <c r="O97" t="s">
        <v>723</v>
      </c>
    </row>
    <row r="98" spans="1:15" x14ac:dyDescent="0.2">
      <c r="A98">
        <v>2</v>
      </c>
      <c r="B98" s="40" t="s">
        <v>724</v>
      </c>
      <c r="D98" s="40"/>
      <c r="E98" s="40" t="str">
        <f>I102</f>
        <v>Amsterdam Telecity 5</v>
      </c>
      <c r="F98" s="40" t="str">
        <f>I99</f>
        <v>TelecityGroup, London Docklands</v>
      </c>
      <c r="H98">
        <v>1</v>
      </c>
      <c r="I98" t="s">
        <v>725</v>
      </c>
      <c r="J98" t="s">
        <v>726</v>
      </c>
      <c r="L98" t="s">
        <v>727</v>
      </c>
      <c r="M98" t="s">
        <v>728</v>
      </c>
      <c r="N98" t="s">
        <v>729</v>
      </c>
      <c r="O98" s="40" t="s">
        <v>553</v>
      </c>
    </row>
    <row r="99" spans="1:15" x14ac:dyDescent="0.2">
      <c r="D99" s="40"/>
      <c r="E99" s="40" t="str">
        <f>I101</f>
        <v>London Equinix LD5</v>
      </c>
      <c r="F99" s="40" t="str">
        <f>I98</f>
        <v>Eircom Clonshaugh (Dublin)</v>
      </c>
      <c r="H99">
        <v>2</v>
      </c>
      <c r="I99" t="s">
        <v>730</v>
      </c>
      <c r="J99" t="s">
        <v>731</v>
      </c>
      <c r="K99" t="s">
        <v>732</v>
      </c>
      <c r="L99" t="s">
        <v>733</v>
      </c>
      <c r="M99" t="s">
        <v>734</v>
      </c>
      <c r="N99" t="s">
        <v>735</v>
      </c>
      <c r="O99" t="s">
        <v>580</v>
      </c>
    </row>
    <row r="100" spans="1:15" x14ac:dyDescent="0.2">
      <c r="B100">
        <f>IF(Site!I44=Site!AO51,1,(IF(Site!I44=Site!AO52,2,0)))</f>
        <v>0</v>
      </c>
      <c r="C100" s="251" t="str">
        <f>Site!I44</f>
        <v>NA</v>
      </c>
      <c r="D100" s="40"/>
      <c r="E100" s="255"/>
      <c r="F100" s="40" t="str">
        <f>I100</f>
        <v>Equinix, Frankfurt FR5</v>
      </c>
      <c r="H100">
        <v>3</v>
      </c>
      <c r="I100" t="s">
        <v>736</v>
      </c>
      <c r="J100" t="s">
        <v>737</v>
      </c>
      <c r="K100" t="s">
        <v>738</v>
      </c>
      <c r="L100" t="s">
        <v>739</v>
      </c>
      <c r="M100" s="40" t="s">
        <v>740</v>
      </c>
      <c r="N100" t="s">
        <v>741</v>
      </c>
      <c r="O100" s="40" t="s">
        <v>550</v>
      </c>
    </row>
    <row r="101" spans="1:15" x14ac:dyDescent="0.2">
      <c r="B101">
        <f>B100+1</f>
        <v>1</v>
      </c>
      <c r="H101">
        <v>4</v>
      </c>
      <c r="I101" t="s">
        <v>742</v>
      </c>
      <c r="J101" t="s">
        <v>743</v>
      </c>
      <c r="K101" t="s">
        <v>744</v>
      </c>
      <c r="L101" t="s">
        <v>745</v>
      </c>
      <c r="M101" t="s">
        <v>746</v>
      </c>
      <c r="N101" t="s">
        <v>747</v>
      </c>
      <c r="O101" t="s">
        <v>580</v>
      </c>
    </row>
    <row r="102" spans="1:15" x14ac:dyDescent="0.2">
      <c r="H102">
        <v>5</v>
      </c>
      <c r="I102" t="s">
        <v>748</v>
      </c>
      <c r="J102" t="s">
        <v>749</v>
      </c>
      <c r="K102" t="s">
        <v>750</v>
      </c>
      <c r="L102" t="s">
        <v>751</v>
      </c>
      <c r="M102" t="s">
        <v>752</v>
      </c>
      <c r="N102" t="s">
        <v>753</v>
      </c>
      <c r="O102" s="40" t="s">
        <v>559</v>
      </c>
    </row>
    <row r="103" spans="1:15" x14ac:dyDescent="0.2">
      <c r="E103">
        <v>1</v>
      </c>
      <c r="F103">
        <v>2</v>
      </c>
      <c r="H103">
        <v>0</v>
      </c>
      <c r="I103" s="40"/>
      <c r="J103" s="40"/>
      <c r="K103" s="40"/>
      <c r="L103" s="40"/>
      <c r="M103" s="40"/>
      <c r="N103" s="40"/>
      <c r="O103" s="40"/>
    </row>
    <row r="104" spans="1:15" x14ac:dyDescent="0.2">
      <c r="E104">
        <f>IF(Site!I45=E98,5,IF(Site!I45=E99,4,(IF(Site!I45=E100,0,0))))</f>
        <v>0</v>
      </c>
      <c r="F104">
        <f>IF(Site!I45=F98,2,IF(Site!I45=F99,1,IF(Site!I45=F100,3,0)))</f>
        <v>0</v>
      </c>
    </row>
    <row r="105" spans="1:15" x14ac:dyDescent="0.2">
      <c r="E105" t="s">
        <v>754</v>
      </c>
      <c r="F105">
        <f>F104+E104</f>
        <v>0</v>
      </c>
    </row>
    <row r="106" spans="1:15" x14ac:dyDescent="0.2">
      <c r="D106" s="251" t="str">
        <f>J97</f>
        <v>Address</v>
      </c>
      <c r="E106" s="251">
        <f>VLOOKUP(F105,H98:N103,3,0)</f>
        <v>0</v>
      </c>
    </row>
    <row r="107" spans="1:15" x14ac:dyDescent="0.2">
      <c r="D107" s="251" t="str">
        <f>K97</f>
        <v>Building</v>
      </c>
      <c r="E107" s="251">
        <f>VLOOKUP(F105,H98:N103,4,0)</f>
        <v>0</v>
      </c>
    </row>
    <row r="108" spans="1:15" x14ac:dyDescent="0.2">
      <c r="D108" s="251" t="str">
        <f>L97</f>
        <v>city</v>
      </c>
      <c r="E108" s="251">
        <f>VLOOKUP(F105,H98:N103,5,0)</f>
        <v>0</v>
      </c>
    </row>
    <row r="109" spans="1:15" x14ac:dyDescent="0.2">
      <c r="D109" s="251" t="str">
        <f>M97</f>
        <v>postcode</v>
      </c>
      <c r="E109" s="251">
        <f>VLOOKUP(F105,H98:N103,6,0)</f>
        <v>0</v>
      </c>
    </row>
    <row r="110" spans="1:15" x14ac:dyDescent="0.2">
      <c r="D110" s="251" t="str">
        <f>N97</f>
        <v>cabinet</v>
      </c>
      <c r="E110" s="251">
        <f>VLOOKUP(F105,H98:N103,7,0)</f>
        <v>0</v>
      </c>
    </row>
    <row r="111" spans="1:15" x14ac:dyDescent="0.2">
      <c r="D111" t="s">
        <v>755</v>
      </c>
      <c r="E111" s="251">
        <f>VLOOKUP(F105,H98:O103,8,0)</f>
        <v>0</v>
      </c>
    </row>
  </sheetData>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zoomScaleNormal="100" workbookViewId="0">
      <selection activeCell="B18" sqref="B18"/>
    </sheetView>
  </sheetViews>
  <sheetFormatPr defaultRowHeight="12.75" x14ac:dyDescent="0.2"/>
  <cols>
    <col min="1" max="1" width="30"/>
    <col min="2" max="2" width="21"/>
    <col min="3" max="3" width="5.5703125"/>
    <col min="4" max="4" width="25"/>
    <col min="5" max="5" width="5.5703125"/>
    <col min="6" max="6" width="21"/>
    <col min="7" max="7" width="60.140625"/>
    <col min="8" max="8" width="25.28515625"/>
    <col min="9" max="9" width="23.5703125"/>
    <col min="10" max="10" width="21"/>
    <col min="11" max="11" width="5.5703125"/>
    <col min="12" max="12" width="7.85546875"/>
    <col min="13" max="13" width="5.5703125"/>
    <col min="14" max="14" width="32.140625"/>
    <col min="15" max="15" width="14.85546875"/>
    <col min="16" max="16" width="21"/>
    <col min="17" max="17" width="12.140625"/>
    <col min="18" max="18" width="21"/>
    <col min="19" max="19" width="12.7109375"/>
    <col min="20" max="20" width="23.7109375"/>
    <col min="21" max="21" width="12.7109375"/>
    <col min="22" max="22" width="21"/>
    <col min="23" max="23" width="5.5703125"/>
    <col min="24" max="24" width="21"/>
    <col min="25" max="25" width="5.5703125"/>
    <col min="26" max="26" width="12.85546875"/>
    <col min="27" max="27" width="5.5703125"/>
    <col min="28" max="28" width="19.28515625"/>
    <col min="29" max="1025" width="8.5703125"/>
  </cols>
  <sheetData>
    <row r="1" spans="1:30" ht="21" customHeight="1" x14ac:dyDescent="0.25">
      <c r="A1" s="277">
        <f>back!C11</f>
        <v>2</v>
      </c>
      <c r="B1" s="301" t="s">
        <v>756</v>
      </c>
      <c r="C1" s="301"/>
      <c r="D1" s="301" t="s">
        <v>757</v>
      </c>
      <c r="E1" s="301"/>
      <c r="F1" s="301" t="s">
        <v>758</v>
      </c>
      <c r="G1" s="301"/>
      <c r="H1" s="301" t="s">
        <v>759</v>
      </c>
      <c r="I1" s="301"/>
      <c r="J1" s="301" t="s">
        <v>760</v>
      </c>
      <c r="K1" s="301"/>
      <c r="L1" s="281" t="s">
        <v>761</v>
      </c>
      <c r="M1" s="281"/>
      <c r="N1" s="301" t="s">
        <v>762</v>
      </c>
      <c r="O1" s="301"/>
      <c r="P1" s="301" t="s">
        <v>763</v>
      </c>
      <c r="Q1" s="301"/>
      <c r="R1" s="301" t="s">
        <v>764</v>
      </c>
      <c r="S1" s="301"/>
      <c r="T1" s="301" t="s">
        <v>765</v>
      </c>
      <c r="U1" s="301"/>
      <c r="V1" s="301" t="s">
        <v>766</v>
      </c>
      <c r="W1" s="301"/>
      <c r="X1" s="301" t="s">
        <v>767</v>
      </c>
      <c r="Y1" s="301"/>
      <c r="Z1" s="281" t="s">
        <v>768</v>
      </c>
      <c r="AA1" s="282"/>
      <c r="AB1" s="282"/>
      <c r="AD1" t="s">
        <v>769</v>
      </c>
    </row>
    <row r="2" spans="1:30" ht="15.75" x14ac:dyDescent="0.25">
      <c r="A2" s="277">
        <f>IF(OR(back!C4=3,back!C4=4,back!S13=1),back!C4-2,100)</f>
        <v>100</v>
      </c>
      <c r="B2" s="283" t="s">
        <v>664</v>
      </c>
      <c r="C2" s="283" t="s">
        <v>522</v>
      </c>
      <c r="D2" s="283" t="s">
        <v>664</v>
      </c>
      <c r="E2" s="283" t="s">
        <v>522</v>
      </c>
      <c r="F2" s="283" t="s">
        <v>664</v>
      </c>
      <c r="G2" s="283" t="s">
        <v>522</v>
      </c>
      <c r="H2" s="283" t="s">
        <v>664</v>
      </c>
      <c r="I2" s="283" t="s">
        <v>522</v>
      </c>
      <c r="J2" s="283" t="s">
        <v>664</v>
      </c>
      <c r="K2" s="283" t="s">
        <v>522</v>
      </c>
      <c r="L2" s="283" t="s">
        <v>664</v>
      </c>
      <c r="M2" s="283" t="s">
        <v>522</v>
      </c>
      <c r="N2" s="283" t="s">
        <v>664</v>
      </c>
      <c r="O2" s="283" t="s">
        <v>522</v>
      </c>
      <c r="P2" s="283" t="s">
        <v>664</v>
      </c>
      <c r="Q2" s="283" t="s">
        <v>522</v>
      </c>
      <c r="R2" s="283" t="s">
        <v>664</v>
      </c>
      <c r="S2" s="283" t="s">
        <v>522</v>
      </c>
      <c r="T2" s="283" t="s">
        <v>664</v>
      </c>
      <c r="U2" s="283" t="s">
        <v>522</v>
      </c>
      <c r="V2" s="283" t="s">
        <v>664</v>
      </c>
      <c r="W2" s="283" t="s">
        <v>522</v>
      </c>
      <c r="X2" s="283" t="s">
        <v>664</v>
      </c>
      <c r="Y2" s="283" t="s">
        <v>522</v>
      </c>
      <c r="Z2" s="282" t="s">
        <v>664</v>
      </c>
      <c r="AA2" s="283" t="s">
        <v>522</v>
      </c>
      <c r="AB2" s="282"/>
      <c r="AD2" s="284" t="s">
        <v>522</v>
      </c>
    </row>
    <row r="3" spans="1:30" ht="52.5" x14ac:dyDescent="0.25">
      <c r="A3" s="278" t="e">
        <f>{#VALUE!}</f>
        <v>#VALUE!</v>
      </c>
      <c r="B3" s="278" t="s">
        <v>770</v>
      </c>
      <c r="C3" s="278"/>
      <c r="D3" s="278" t="s">
        <v>771</v>
      </c>
      <c r="E3" s="285"/>
      <c r="F3" s="278" t="s">
        <v>770</v>
      </c>
      <c r="G3" s="286" t="s">
        <v>772</v>
      </c>
      <c r="H3" s="278" t="s">
        <v>773</v>
      </c>
      <c r="I3" s="278" t="s">
        <v>773</v>
      </c>
      <c r="J3" s="278" t="s">
        <v>774</v>
      </c>
      <c r="K3" s="285"/>
      <c r="L3" s="285" t="s">
        <v>775</v>
      </c>
      <c r="M3" s="285"/>
      <c r="N3" s="278" t="s">
        <v>776</v>
      </c>
      <c r="O3" s="278" t="s">
        <v>777</v>
      </c>
      <c r="P3" s="278" t="s">
        <v>778</v>
      </c>
      <c r="Q3" s="278" t="s">
        <v>778</v>
      </c>
      <c r="R3" s="278" t="s">
        <v>770</v>
      </c>
      <c r="S3" s="286" t="s">
        <v>772</v>
      </c>
      <c r="T3" s="278" t="s">
        <v>779</v>
      </c>
      <c r="U3" s="278" t="s">
        <v>772</v>
      </c>
      <c r="V3" s="278" t="s">
        <v>770</v>
      </c>
      <c r="W3" s="285"/>
      <c r="X3" s="278" t="s">
        <v>780</v>
      </c>
      <c r="Y3" s="287" t="s">
        <v>772</v>
      </c>
      <c r="Z3" s="285"/>
      <c r="AA3" s="287" t="s">
        <v>772</v>
      </c>
      <c r="AB3" s="282"/>
      <c r="AD3" t="s">
        <v>781</v>
      </c>
    </row>
    <row r="4" spans="1:30" ht="15.75" x14ac:dyDescent="0.25">
      <c r="A4" s="278" t="e">
        <f>{#VALUE!}</f>
        <v>#VALUE!</v>
      </c>
      <c r="B4" s="285"/>
      <c r="C4" s="285"/>
      <c r="D4" s="278" t="s">
        <v>770</v>
      </c>
      <c r="E4" s="285"/>
      <c r="F4" s="285"/>
      <c r="G4" s="288" t="s">
        <v>782</v>
      </c>
      <c r="H4" s="278" t="s">
        <v>783</v>
      </c>
      <c r="I4" s="278" t="s">
        <v>784</v>
      </c>
      <c r="J4" s="278" t="s">
        <v>770</v>
      </c>
      <c r="K4" s="285"/>
      <c r="L4" s="285"/>
      <c r="M4" s="285"/>
      <c r="N4" s="286" t="s">
        <v>772</v>
      </c>
      <c r="O4" s="286" t="s">
        <v>772</v>
      </c>
      <c r="P4" s="278" t="s">
        <v>770</v>
      </c>
      <c r="Q4" s="281"/>
      <c r="R4" s="285"/>
      <c r="S4" s="288" t="s">
        <v>785</v>
      </c>
      <c r="T4" s="278" t="s">
        <v>786</v>
      </c>
      <c r="U4" s="288" t="s">
        <v>782</v>
      </c>
      <c r="V4" s="285"/>
      <c r="W4" s="285"/>
      <c r="X4" s="278" t="s">
        <v>770</v>
      </c>
      <c r="Y4" s="288" t="s">
        <v>782</v>
      </c>
      <c r="Z4" s="285"/>
      <c r="AA4" s="288" t="s">
        <v>782</v>
      </c>
      <c r="AB4" s="282"/>
      <c r="AD4" t="s">
        <v>787</v>
      </c>
    </row>
    <row r="5" spans="1:30" ht="105" x14ac:dyDescent="0.25">
      <c r="A5" s="278" t="e">
        <f>{#VALUE!}</f>
        <v>#VALUE!</v>
      </c>
      <c r="B5" s="285"/>
      <c r="C5" s="285"/>
      <c r="D5" s="285"/>
      <c r="E5" s="285"/>
      <c r="F5" s="285"/>
      <c r="G5" s="289" t="s">
        <v>788</v>
      </c>
      <c r="H5" s="278" t="s">
        <v>789</v>
      </c>
      <c r="I5" s="278" t="s">
        <v>790</v>
      </c>
      <c r="J5" s="288" t="s">
        <v>782</v>
      </c>
      <c r="K5" s="285"/>
      <c r="L5" s="285"/>
      <c r="M5" s="285"/>
      <c r="N5" s="288" t="s">
        <v>782</v>
      </c>
      <c r="O5" s="288" t="s">
        <v>782</v>
      </c>
      <c r="P5" s="281"/>
      <c r="Q5" s="281"/>
      <c r="R5" s="285"/>
      <c r="S5" s="285"/>
      <c r="T5" s="278" t="s">
        <v>772</v>
      </c>
      <c r="U5" s="289" t="s">
        <v>788</v>
      </c>
      <c r="V5" s="285"/>
      <c r="W5" s="285"/>
      <c r="X5" s="285"/>
      <c r="Y5" s="289" t="s">
        <v>788</v>
      </c>
      <c r="Z5" s="285"/>
      <c r="AA5" s="289" t="s">
        <v>788</v>
      </c>
      <c r="AB5" s="282"/>
      <c r="AD5" s="289" t="s">
        <v>788</v>
      </c>
    </row>
    <row r="6" spans="1:30" ht="42" x14ac:dyDescent="0.25">
      <c r="A6" s="278" t="e">
        <f>{#VALUE!}</f>
        <v>#VALUE!</v>
      </c>
      <c r="B6" s="285"/>
      <c r="C6" s="285"/>
      <c r="D6" s="285"/>
      <c r="E6" s="285"/>
      <c r="F6" s="285"/>
      <c r="G6" s="285"/>
      <c r="H6" s="278" t="s">
        <v>791</v>
      </c>
      <c r="I6" s="278" t="s">
        <v>791</v>
      </c>
      <c r="J6" s="289" t="s">
        <v>788</v>
      </c>
      <c r="K6" s="285"/>
      <c r="L6" s="285"/>
      <c r="M6" s="285"/>
      <c r="N6" s="289" t="s">
        <v>788</v>
      </c>
      <c r="O6" s="289" t="s">
        <v>788</v>
      </c>
      <c r="P6" s="281"/>
      <c r="Q6" s="281"/>
      <c r="R6" s="285"/>
      <c r="S6" s="285"/>
      <c r="T6" s="288" t="s">
        <v>782</v>
      </c>
      <c r="U6" s="285"/>
      <c r="V6" s="285"/>
      <c r="W6" s="285"/>
      <c r="X6" s="285"/>
      <c r="Y6" s="285"/>
      <c r="Z6" s="285"/>
      <c r="AA6" s="282"/>
      <c r="AB6" s="282"/>
    </row>
    <row r="7" spans="1:30" ht="21" x14ac:dyDescent="0.25">
      <c r="A7" s="278" t="e">
        <f>{#VALUE!}</f>
        <v>#VALUE!</v>
      </c>
      <c r="B7" s="286"/>
      <c r="C7" s="286"/>
      <c r="D7" s="286"/>
      <c r="E7" s="286"/>
      <c r="F7" s="286"/>
      <c r="G7" s="286"/>
      <c r="H7" s="278"/>
      <c r="I7" s="278"/>
      <c r="J7" s="286"/>
      <c r="K7" s="286"/>
      <c r="L7" s="286"/>
      <c r="M7" s="286"/>
      <c r="N7" s="278" t="s">
        <v>792</v>
      </c>
      <c r="O7" s="286"/>
      <c r="P7" s="290"/>
      <c r="Q7" s="290"/>
      <c r="R7" s="286"/>
      <c r="S7" s="286"/>
      <c r="T7" s="289" t="s">
        <v>788</v>
      </c>
      <c r="U7" s="286"/>
      <c r="V7" s="286"/>
      <c r="W7" s="286"/>
      <c r="X7" s="282"/>
      <c r="Y7" s="286"/>
      <c r="Z7" s="286"/>
      <c r="AA7" s="282"/>
      <c r="AB7" s="282"/>
    </row>
    <row r="8" spans="1:30" ht="15.75" x14ac:dyDescent="0.25">
      <c r="A8" s="278" t="e">
        <f>{#VALUE!}</f>
        <v>#VALUE!</v>
      </c>
      <c r="B8" s="286"/>
      <c r="C8" s="286"/>
      <c r="D8" s="286"/>
      <c r="E8" s="286"/>
      <c r="F8" s="286"/>
      <c r="G8" s="286"/>
      <c r="I8" s="278"/>
      <c r="J8" s="286"/>
      <c r="K8" s="286"/>
      <c r="L8" s="286"/>
      <c r="M8" s="286"/>
      <c r="N8" s="278" t="s">
        <v>770</v>
      </c>
      <c r="O8" s="286"/>
      <c r="P8" s="286"/>
      <c r="Q8" s="286"/>
      <c r="R8" s="286"/>
      <c r="S8" s="286"/>
      <c r="T8" s="278" t="s">
        <v>792</v>
      </c>
      <c r="U8" s="286"/>
      <c r="V8" s="286"/>
      <c r="W8" s="286"/>
      <c r="X8" s="286"/>
      <c r="Y8" s="286"/>
      <c r="Z8" s="286"/>
      <c r="AA8" s="282"/>
      <c r="AB8" s="282"/>
    </row>
    <row r="9" spans="1:30" ht="15.75" x14ac:dyDescent="0.25">
      <c r="A9" s="278" t="e">
        <f>{#VALUE!}</f>
        <v>#VALUE!</v>
      </c>
      <c r="B9" s="286"/>
      <c r="C9" s="286"/>
      <c r="D9" s="286"/>
      <c r="E9" s="286"/>
      <c r="F9" s="286"/>
      <c r="G9" s="286"/>
      <c r="H9" s="278"/>
      <c r="I9" s="290"/>
      <c r="J9" s="286"/>
      <c r="K9" s="286"/>
      <c r="L9" s="286"/>
      <c r="M9" s="286"/>
      <c r="N9" s="286"/>
      <c r="O9" s="286"/>
      <c r="P9" s="282"/>
      <c r="Q9" s="282"/>
      <c r="R9" s="286"/>
      <c r="S9" s="286"/>
      <c r="T9" s="278" t="s">
        <v>770</v>
      </c>
      <c r="U9" s="286"/>
      <c r="V9" s="286"/>
      <c r="W9" s="286"/>
      <c r="X9" s="286"/>
      <c r="Y9" s="286"/>
      <c r="Z9" s="286"/>
      <c r="AA9" s="282"/>
      <c r="AB9" s="282"/>
    </row>
    <row r="10" spans="1:30" ht="15.75" x14ac:dyDescent="0.25">
      <c r="A10" s="278" t="e">
        <f>{#VALUE!}</f>
        <v>#VALUE!</v>
      </c>
      <c r="B10" s="286"/>
      <c r="C10" s="286"/>
      <c r="D10" s="286"/>
      <c r="E10" s="286"/>
      <c r="F10" s="286"/>
      <c r="G10" s="286"/>
      <c r="H10" s="278"/>
      <c r="I10" s="290"/>
      <c r="J10" s="286"/>
      <c r="K10" s="286"/>
      <c r="L10" s="286"/>
      <c r="M10" s="286"/>
      <c r="N10" s="286"/>
      <c r="O10" s="282"/>
      <c r="P10" s="290"/>
      <c r="Q10" s="290"/>
      <c r="R10" s="286"/>
      <c r="S10" s="286"/>
      <c r="T10" s="290"/>
      <c r="U10" s="286"/>
      <c r="V10" s="286"/>
      <c r="W10" s="286"/>
      <c r="X10" s="286"/>
      <c r="Y10" s="286"/>
      <c r="Z10" s="286"/>
      <c r="AA10" s="282"/>
      <c r="AB10" s="282"/>
    </row>
    <row r="11" spans="1:30" ht="15.75" x14ac:dyDescent="0.25">
      <c r="A11" s="278" t="e">
        <f>{#VALUE!}</f>
        <v>#VALUE!</v>
      </c>
      <c r="B11" s="286"/>
      <c r="C11" s="286"/>
      <c r="D11" s="286"/>
      <c r="E11" s="286"/>
      <c r="F11" s="286"/>
      <c r="G11" s="286"/>
      <c r="H11" s="290"/>
      <c r="I11" s="290"/>
      <c r="J11" s="286"/>
      <c r="K11" s="286"/>
      <c r="L11" s="286"/>
      <c r="M11" s="286"/>
      <c r="N11" s="286"/>
      <c r="O11" s="286"/>
      <c r="P11" s="286"/>
      <c r="Q11" s="286"/>
      <c r="R11" s="286"/>
      <c r="S11" s="286"/>
      <c r="T11" s="282"/>
      <c r="U11" s="286"/>
      <c r="V11" s="286"/>
      <c r="W11" s="286"/>
      <c r="X11" s="286"/>
      <c r="Y11" s="286"/>
      <c r="Z11" s="286"/>
      <c r="AA11" s="282"/>
      <c r="AB11" s="282"/>
    </row>
  </sheetData>
  <mergeCells count="11">
    <mergeCell ref="X1:Y1"/>
    <mergeCell ref="N1:O1"/>
    <mergeCell ref="P1:Q1"/>
    <mergeCell ref="R1:S1"/>
    <mergeCell ref="T1:U1"/>
    <mergeCell ref="V1:W1"/>
    <mergeCell ref="B1:C1"/>
    <mergeCell ref="D1:E1"/>
    <mergeCell ref="F1:G1"/>
    <mergeCell ref="H1:I1"/>
    <mergeCell ref="J1:K1"/>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8"/>
  <sheetViews>
    <sheetView topLeftCell="A10" zoomScaleNormal="100" workbookViewId="0">
      <selection activeCell="C52" sqref="C52"/>
    </sheetView>
  </sheetViews>
  <sheetFormatPr defaultRowHeight="12.75" x14ac:dyDescent="0.2"/>
  <cols>
    <col min="1" max="1" width="8.5703125"/>
    <col min="2" max="19" width="26.42578125"/>
    <col min="20" max="1025" width="8.5703125"/>
  </cols>
  <sheetData>
    <row r="3" spans="2:19" x14ac:dyDescent="0.2">
      <c r="B3" s="291"/>
      <c r="C3" s="291"/>
      <c r="D3" s="291"/>
      <c r="E3" s="291"/>
    </row>
    <row r="4" spans="2:19" x14ac:dyDescent="0.2">
      <c r="B4" s="291" t="s">
        <v>793</v>
      </c>
      <c r="C4" s="291" t="s">
        <v>794</v>
      </c>
      <c r="D4" s="291" t="s">
        <v>795</v>
      </c>
      <c r="E4" s="291" t="s">
        <v>796</v>
      </c>
      <c r="F4" s="291" t="s">
        <v>797</v>
      </c>
      <c r="G4" s="291" t="s">
        <v>798</v>
      </c>
      <c r="H4" s="291" t="s">
        <v>799</v>
      </c>
      <c r="I4" s="291" t="s">
        <v>800</v>
      </c>
      <c r="J4" s="291" t="s">
        <v>801</v>
      </c>
      <c r="K4" s="291" t="s">
        <v>802</v>
      </c>
      <c r="L4" s="291" t="s">
        <v>803</v>
      </c>
      <c r="M4" s="291" t="s">
        <v>804</v>
      </c>
      <c r="N4" s="291" t="s">
        <v>805</v>
      </c>
      <c r="O4" s="291" t="s">
        <v>806</v>
      </c>
      <c r="P4" s="291" t="s">
        <v>807</v>
      </c>
      <c r="Q4" s="291" t="s">
        <v>808</v>
      </c>
      <c r="R4" s="291" t="s">
        <v>809</v>
      </c>
      <c r="S4" s="291" t="s">
        <v>810</v>
      </c>
    </row>
    <row r="5" spans="2:19" x14ac:dyDescent="0.2">
      <c r="B5" s="291" t="s">
        <v>811</v>
      </c>
      <c r="C5" s="291" t="s">
        <v>812</v>
      </c>
      <c r="D5" s="291" t="s">
        <v>812</v>
      </c>
      <c r="E5" s="291" t="s">
        <v>813</v>
      </c>
      <c r="F5" t="s">
        <v>813</v>
      </c>
      <c r="G5" t="s">
        <v>813</v>
      </c>
      <c r="H5" t="s">
        <v>814</v>
      </c>
      <c r="I5" t="s">
        <v>814</v>
      </c>
      <c r="J5" t="s">
        <v>815</v>
      </c>
      <c r="K5" t="s">
        <v>815</v>
      </c>
      <c r="L5" t="s">
        <v>816</v>
      </c>
      <c r="M5" t="s">
        <v>816</v>
      </c>
      <c r="N5" t="s">
        <v>817</v>
      </c>
      <c r="O5" t="s">
        <v>818</v>
      </c>
      <c r="P5" t="s">
        <v>818</v>
      </c>
      <c r="Q5" t="s">
        <v>818</v>
      </c>
      <c r="R5" t="s">
        <v>819</v>
      </c>
      <c r="S5" s="291" t="s">
        <v>820</v>
      </c>
    </row>
    <row r="6" spans="2:19" ht="25.5" x14ac:dyDescent="0.2">
      <c r="B6" s="291" t="s">
        <v>821</v>
      </c>
      <c r="C6" s="291" t="s">
        <v>822</v>
      </c>
      <c r="D6" s="291" t="s">
        <v>823</v>
      </c>
      <c r="E6" s="291" t="s">
        <v>824</v>
      </c>
      <c r="F6" t="s">
        <v>825</v>
      </c>
      <c r="G6" t="s">
        <v>826</v>
      </c>
      <c r="H6" t="s">
        <v>827</v>
      </c>
      <c r="I6" t="s">
        <v>828</v>
      </c>
      <c r="J6" t="s">
        <v>829</v>
      </c>
      <c r="K6" t="s">
        <v>830</v>
      </c>
      <c r="L6" t="s">
        <v>831</v>
      </c>
      <c r="M6" t="s">
        <v>832</v>
      </c>
      <c r="N6" t="s">
        <v>833</v>
      </c>
      <c r="O6" t="s">
        <v>834</v>
      </c>
      <c r="P6" t="s">
        <v>835</v>
      </c>
      <c r="Q6" t="s">
        <v>836</v>
      </c>
      <c r="R6" t="s">
        <v>837</v>
      </c>
      <c r="S6" s="291" t="s">
        <v>838</v>
      </c>
    </row>
    <row r="7" spans="2:19" x14ac:dyDescent="0.2">
      <c r="B7" s="291" t="s">
        <v>839</v>
      </c>
      <c r="C7" s="291" t="s">
        <v>840</v>
      </c>
      <c r="D7" s="291" t="s">
        <v>841</v>
      </c>
      <c r="E7" s="291" t="s">
        <v>840</v>
      </c>
      <c r="F7" t="s">
        <v>840</v>
      </c>
      <c r="G7" t="s">
        <v>840</v>
      </c>
      <c r="H7" t="s">
        <v>842</v>
      </c>
      <c r="I7" t="s">
        <v>840</v>
      </c>
      <c r="J7" t="s">
        <v>840</v>
      </c>
      <c r="K7" t="s">
        <v>840</v>
      </c>
      <c r="L7" t="s">
        <v>843</v>
      </c>
      <c r="M7" t="s">
        <v>840</v>
      </c>
      <c r="N7" t="s">
        <v>840</v>
      </c>
      <c r="O7" t="s">
        <v>844</v>
      </c>
      <c r="P7" t="s">
        <v>845</v>
      </c>
      <c r="Q7" t="s">
        <v>840</v>
      </c>
      <c r="R7" t="s">
        <v>840</v>
      </c>
      <c r="S7" s="291" t="s">
        <v>846</v>
      </c>
    </row>
    <row r="8" spans="2:19" x14ac:dyDescent="0.2">
      <c r="B8" s="291" t="s">
        <v>840</v>
      </c>
      <c r="C8" s="291">
        <v>75017</v>
      </c>
      <c r="D8" s="291">
        <v>91940</v>
      </c>
      <c r="E8" s="291" t="s">
        <v>847</v>
      </c>
      <c r="F8" t="s">
        <v>848</v>
      </c>
      <c r="G8">
        <v>22335</v>
      </c>
      <c r="H8" t="s">
        <v>849</v>
      </c>
      <c r="I8" t="s">
        <v>850</v>
      </c>
      <c r="J8">
        <v>20159</v>
      </c>
      <c r="K8">
        <v>10144</v>
      </c>
      <c r="L8">
        <v>28050</v>
      </c>
      <c r="M8" t="s">
        <v>851</v>
      </c>
      <c r="N8" t="s">
        <v>852</v>
      </c>
      <c r="O8" t="s">
        <v>853</v>
      </c>
      <c r="P8" t="s">
        <v>854</v>
      </c>
      <c r="Q8" t="s">
        <v>855</v>
      </c>
      <c r="R8">
        <v>2450</v>
      </c>
      <c r="S8" s="291" t="s">
        <v>856</v>
      </c>
    </row>
    <row r="9" spans="2:19" x14ac:dyDescent="0.2">
      <c r="B9" t="s">
        <v>857</v>
      </c>
      <c r="C9" t="s">
        <v>858</v>
      </c>
      <c r="D9" t="s">
        <v>859</v>
      </c>
      <c r="E9" t="s">
        <v>860</v>
      </c>
      <c r="F9" t="s">
        <v>861</v>
      </c>
      <c r="G9" t="s">
        <v>862</v>
      </c>
      <c r="H9" t="s">
        <v>863</v>
      </c>
      <c r="I9" t="s">
        <v>864</v>
      </c>
      <c r="J9" t="s">
        <v>865</v>
      </c>
      <c r="K9" t="s">
        <v>866</v>
      </c>
      <c r="L9" t="s">
        <v>867</v>
      </c>
      <c r="M9" t="s">
        <v>868</v>
      </c>
      <c r="N9" t="s">
        <v>869</v>
      </c>
      <c r="O9" t="s">
        <v>733</v>
      </c>
      <c r="P9" t="s">
        <v>733</v>
      </c>
      <c r="Q9" t="s">
        <v>870</v>
      </c>
      <c r="R9" t="s">
        <v>871</v>
      </c>
      <c r="S9" s="291" t="s">
        <v>872</v>
      </c>
    </row>
    <row r="10" spans="2:19" x14ac:dyDescent="0.2">
      <c r="B10" t="s">
        <v>757</v>
      </c>
      <c r="C10" t="s">
        <v>759</v>
      </c>
      <c r="D10" t="s">
        <v>759</v>
      </c>
      <c r="E10" t="s">
        <v>760</v>
      </c>
      <c r="F10" t="s">
        <v>760</v>
      </c>
      <c r="G10" t="s">
        <v>760</v>
      </c>
      <c r="H10" t="s">
        <v>873</v>
      </c>
      <c r="I10" t="s">
        <v>873</v>
      </c>
      <c r="J10" t="s">
        <v>762</v>
      </c>
      <c r="K10" t="s">
        <v>762</v>
      </c>
      <c r="L10" t="s">
        <v>765</v>
      </c>
      <c r="M10" t="s">
        <v>765</v>
      </c>
      <c r="N10" t="s">
        <v>767</v>
      </c>
      <c r="O10" t="s">
        <v>580</v>
      </c>
      <c r="P10" t="s">
        <v>580</v>
      </c>
      <c r="Q10" t="s">
        <v>580</v>
      </c>
      <c r="R10" t="s">
        <v>758</v>
      </c>
      <c r="S10" s="291" t="s">
        <v>764</v>
      </c>
    </row>
    <row r="14" spans="2:19" x14ac:dyDescent="0.2">
      <c r="B14" s="251" t="str">
        <f>CONCATENATE(B4," ",B5," ",B6," ",B7," ",B8," ",B9," ",B10)</f>
        <v>BE1 COLT Telecom NV/SA Nossegem 1930 Mercuriusstraat 30 - Brussels Belgium</v>
      </c>
      <c r="C14" s="251" t="e">
        <f>{#VALUE!}</f>
        <v>#VALUE!</v>
      </c>
      <c r="D14" s="251" t="e">
        <f>{#VALUE!}</f>
        <v>#VALUE!</v>
      </c>
      <c r="E14" s="251" t="e">
        <f>{#VALUE!}</f>
        <v>#VALUE!</v>
      </c>
      <c r="F14" s="251" t="e">
        <f>{#VALUE!}</f>
        <v>#VALUE!</v>
      </c>
      <c r="G14" s="251" t="e">
        <f>{#VALUE!}</f>
        <v>#VALUE!</v>
      </c>
      <c r="H14" s="251" t="e">
        <f>{#VALUE!}</f>
        <v>#VALUE!</v>
      </c>
      <c r="I14" s="251" t="e">
        <f>{#VALUE!}</f>
        <v>#VALUE!</v>
      </c>
      <c r="J14" s="251" t="e">
        <f>{#VALUE!}</f>
        <v>#VALUE!</v>
      </c>
      <c r="K14" s="251" t="e">
        <f>{#VALUE!}</f>
        <v>#VALUE!</v>
      </c>
      <c r="L14" s="251" t="e">
        <f>{#VALUE!}</f>
        <v>#VALUE!</v>
      </c>
      <c r="M14" s="251" t="e">
        <f>{#VALUE!}</f>
        <v>#VALUE!</v>
      </c>
      <c r="N14" s="251" t="e">
        <f>{#VALUE!}</f>
        <v>#VALUE!</v>
      </c>
      <c r="O14" s="251" t="e">
        <f>{#VALUE!}</f>
        <v>#VALUE!</v>
      </c>
      <c r="P14" s="251" t="e">
        <f>{#VALUE!}</f>
        <v>#VALUE!</v>
      </c>
      <c r="Q14" s="251" t="e">
        <f>{#VALUE!}</f>
        <v>#VALUE!</v>
      </c>
      <c r="R14" s="251" t="e">
        <f>{#VALUE!}</f>
        <v>#VALUE!</v>
      </c>
      <c r="S14" s="251" t="e">
        <f>{#VALUE!}</f>
        <v>#VALUE!</v>
      </c>
    </row>
    <row r="15" spans="2:19" x14ac:dyDescent="0.2">
      <c r="B15" t="s">
        <v>24</v>
      </c>
      <c r="C15" t="s">
        <v>26</v>
      </c>
      <c r="D15" t="s">
        <v>28</v>
      </c>
      <c r="E15" t="s">
        <v>29</v>
      </c>
      <c r="F15" t="s">
        <v>31</v>
      </c>
      <c r="G15" t="s">
        <v>32</v>
      </c>
      <c r="H15" t="s">
        <v>33</v>
      </c>
      <c r="I15" t="s">
        <v>34</v>
      </c>
      <c r="J15" t="s">
        <v>36</v>
      </c>
      <c r="K15" t="s">
        <v>37</v>
      </c>
      <c r="L15" t="s">
        <v>38</v>
      </c>
      <c r="M15" t="s">
        <v>39</v>
      </c>
      <c r="N15" t="s">
        <v>41</v>
      </c>
      <c r="O15" t="s">
        <v>42</v>
      </c>
      <c r="P15" t="s">
        <v>43</v>
      </c>
      <c r="Q15" t="s">
        <v>44</v>
      </c>
      <c r="R15" t="s">
        <v>46</v>
      </c>
      <c r="S15" t="s">
        <v>49</v>
      </c>
    </row>
    <row r="18" spans="2:2" x14ac:dyDescent="0.2">
      <c r="B18" t="s">
        <v>21</v>
      </c>
    </row>
    <row r="19" spans="2:2" x14ac:dyDescent="0.2">
      <c r="B19" t="s">
        <v>24</v>
      </c>
    </row>
    <row r="20" spans="2:2" x14ac:dyDescent="0.2">
      <c r="B20" t="s">
        <v>26</v>
      </c>
    </row>
    <row r="21" spans="2:2" x14ac:dyDescent="0.2">
      <c r="B21" t="s">
        <v>28</v>
      </c>
    </row>
    <row r="22" spans="2:2" x14ac:dyDescent="0.2">
      <c r="B22" t="s">
        <v>29</v>
      </c>
    </row>
    <row r="23" spans="2:2" x14ac:dyDescent="0.2">
      <c r="B23" t="s">
        <v>31</v>
      </c>
    </row>
    <row r="24" spans="2:2" x14ac:dyDescent="0.2">
      <c r="B24" t="s">
        <v>32</v>
      </c>
    </row>
    <row r="25" spans="2:2" x14ac:dyDescent="0.2">
      <c r="B25" t="s">
        <v>33</v>
      </c>
    </row>
    <row r="26" spans="2:2" x14ac:dyDescent="0.2">
      <c r="B26" t="s">
        <v>34</v>
      </c>
    </row>
    <row r="27" spans="2:2" x14ac:dyDescent="0.2">
      <c r="B27" t="s">
        <v>36</v>
      </c>
    </row>
    <row r="28" spans="2:2" x14ac:dyDescent="0.2">
      <c r="B28" t="s">
        <v>37</v>
      </c>
    </row>
    <row r="29" spans="2:2" x14ac:dyDescent="0.2">
      <c r="B29" t="s">
        <v>38</v>
      </c>
    </row>
    <row r="30" spans="2:2" x14ac:dyDescent="0.2">
      <c r="B30" t="s">
        <v>39</v>
      </c>
    </row>
    <row r="31" spans="2:2" x14ac:dyDescent="0.2">
      <c r="B31" t="s">
        <v>41</v>
      </c>
    </row>
    <row r="32" spans="2:2" x14ac:dyDescent="0.2">
      <c r="B32" t="s">
        <v>42</v>
      </c>
    </row>
    <row r="33" spans="2:2" x14ac:dyDescent="0.2">
      <c r="B33" t="s">
        <v>43</v>
      </c>
    </row>
    <row r="34" spans="2:2" x14ac:dyDescent="0.2">
      <c r="B34" t="s">
        <v>44</v>
      </c>
    </row>
    <row r="35" spans="2:2" x14ac:dyDescent="0.2">
      <c r="B35" t="s">
        <v>46</v>
      </c>
    </row>
    <row r="36" spans="2:2" x14ac:dyDescent="0.2">
      <c r="B36" t="s">
        <v>49</v>
      </c>
    </row>
    <row r="38" spans="2:2" x14ac:dyDescent="0.2">
      <c r="B38">
        <v>1</v>
      </c>
    </row>
  </sheetData>
  <pageMargins left="0.75" right="0.75" top="1" bottom="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25"/>
  <sheetViews>
    <sheetView topLeftCell="AL1" zoomScaleNormal="100" workbookViewId="0">
      <selection activeCell="AO6" sqref="AO6"/>
    </sheetView>
  </sheetViews>
  <sheetFormatPr defaultRowHeight="12.75" x14ac:dyDescent="0.2"/>
  <cols>
    <col min="1" max="2" width="9.140625" style="292"/>
    <col min="3" max="3" width="5.7109375" style="292"/>
    <col min="4" max="15" width="47.85546875" style="292"/>
    <col min="16" max="16" width="4.5703125" style="292"/>
    <col min="17" max="17" width="55.140625" style="292"/>
    <col min="18" max="18" width="49" style="292"/>
    <col min="19" max="19" width="6.28515625" style="292"/>
    <col min="20" max="20" width="53.85546875" style="292"/>
    <col min="21" max="21" width="47.28515625" style="292"/>
    <col min="22" max="22" width="6.28515625" style="292"/>
    <col min="23" max="23" width="59.85546875" style="292"/>
    <col min="24" max="24" width="60" style="292"/>
    <col min="25" max="25" width="55.140625" style="292"/>
    <col min="26" max="26" width="47.7109375" style="292"/>
    <col min="27" max="27" width="6.28515625" style="292"/>
    <col min="28" max="28" width="47.5703125" style="292"/>
    <col min="29" max="29" width="54.7109375" style="292"/>
    <col min="30" max="30" width="18.140625" style="292"/>
    <col min="31" max="31" width="13.140625" style="292"/>
    <col min="32" max="32" width="11.85546875" style="292"/>
    <col min="33" max="33" width="13.42578125" style="292"/>
    <col min="34" max="38" width="13.7109375" style="292"/>
    <col min="39" max="39" width="54.7109375" style="292"/>
    <col min="40" max="40" width="9.140625" style="292"/>
    <col min="41" max="41" width="8.7109375" style="292"/>
    <col min="42" max="1025" width="9.140625" style="292"/>
  </cols>
  <sheetData>
    <row r="1" spans="1:46" s="252" customFormat="1" x14ac:dyDescent="0.2">
      <c r="C1" s="252" t="s">
        <v>874</v>
      </c>
      <c r="D1" s="252" t="s">
        <v>664</v>
      </c>
      <c r="E1" s="252" t="s">
        <v>664</v>
      </c>
      <c r="F1" s="252" t="s">
        <v>664</v>
      </c>
      <c r="G1" s="252" t="s">
        <v>664</v>
      </c>
      <c r="H1" s="252" t="s">
        <v>664</v>
      </c>
      <c r="I1" s="252" t="s">
        <v>664</v>
      </c>
      <c r="J1" s="252" t="s">
        <v>664</v>
      </c>
      <c r="K1" s="252" t="s">
        <v>664</v>
      </c>
      <c r="L1" s="252" t="s">
        <v>664</v>
      </c>
      <c r="M1" s="252" t="s">
        <v>664</v>
      </c>
      <c r="N1" s="252" t="s">
        <v>664</v>
      </c>
      <c r="O1" s="252" t="s">
        <v>664</v>
      </c>
      <c r="P1" s="252" t="s">
        <v>664</v>
      </c>
      <c r="Q1" s="252" t="s">
        <v>522</v>
      </c>
      <c r="R1" s="252" t="s">
        <v>522</v>
      </c>
      <c r="S1" s="252" t="s">
        <v>522</v>
      </c>
      <c r="T1" s="252" t="s">
        <v>522</v>
      </c>
      <c r="U1" s="252" t="s">
        <v>522</v>
      </c>
      <c r="V1" s="252" t="s">
        <v>522</v>
      </c>
      <c r="W1" s="252" t="s">
        <v>522</v>
      </c>
      <c r="X1" s="252" t="s">
        <v>522</v>
      </c>
      <c r="Y1" s="252" t="s">
        <v>522</v>
      </c>
      <c r="Z1" s="252" t="s">
        <v>522</v>
      </c>
      <c r="AA1" s="252" t="s">
        <v>522</v>
      </c>
      <c r="AB1" s="252" t="s">
        <v>522</v>
      </c>
      <c r="AC1" s="252" t="s">
        <v>522</v>
      </c>
      <c r="AD1" s="252" t="s">
        <v>875</v>
      </c>
      <c r="AE1" s="252" t="s">
        <v>875</v>
      </c>
      <c r="AF1" s="252" t="s">
        <v>875</v>
      </c>
      <c r="AG1" s="252" t="s">
        <v>875</v>
      </c>
      <c r="AH1" s="252" t="s">
        <v>875</v>
      </c>
      <c r="AI1" s="252" t="s">
        <v>875</v>
      </c>
      <c r="AJ1" s="252" t="s">
        <v>875</v>
      </c>
      <c r="AK1" s="252" t="s">
        <v>875</v>
      </c>
      <c r="AL1" s="252" t="s">
        <v>876</v>
      </c>
      <c r="AN1" s="252" t="s">
        <v>875</v>
      </c>
      <c r="AP1" s="252" t="s">
        <v>877</v>
      </c>
      <c r="AQ1" s="252" t="s">
        <v>878</v>
      </c>
      <c r="AR1" s="252" t="s">
        <v>879</v>
      </c>
      <c r="AS1" s="252" t="s">
        <v>880</v>
      </c>
      <c r="AT1" s="252" t="s">
        <v>875</v>
      </c>
    </row>
    <row r="2" spans="1:46" x14ac:dyDescent="0.2">
      <c r="A2" s="252"/>
      <c r="B2" s="252"/>
      <c r="C2" s="252" t="s">
        <v>875</v>
      </c>
      <c r="D2" s="252" t="s">
        <v>532</v>
      </c>
      <c r="E2" s="252" t="s">
        <v>78</v>
      </c>
      <c r="F2" s="252" t="s">
        <v>540</v>
      </c>
      <c r="G2" s="252" t="s">
        <v>546</v>
      </c>
      <c r="H2" s="252" t="s">
        <v>550</v>
      </c>
      <c r="I2" s="252" t="s">
        <v>553</v>
      </c>
      <c r="J2" s="252" t="s">
        <v>556</v>
      </c>
      <c r="K2" s="252" t="s">
        <v>559</v>
      </c>
      <c r="L2" s="252" t="s">
        <v>562</v>
      </c>
      <c r="M2" s="252" t="s">
        <v>566</v>
      </c>
      <c r="N2" s="252" t="s">
        <v>570</v>
      </c>
      <c r="O2" s="252" t="s">
        <v>575</v>
      </c>
      <c r="P2" s="252" t="s">
        <v>580</v>
      </c>
      <c r="Q2" s="252" t="s">
        <v>532</v>
      </c>
      <c r="R2" s="252" t="s">
        <v>78</v>
      </c>
      <c r="S2" s="252" t="s">
        <v>540</v>
      </c>
      <c r="T2" s="252" t="s">
        <v>546</v>
      </c>
      <c r="U2" s="252" t="s">
        <v>550</v>
      </c>
      <c r="V2" s="252" t="s">
        <v>553</v>
      </c>
      <c r="W2" s="252" t="s">
        <v>556</v>
      </c>
      <c r="X2" s="252" t="s">
        <v>559</v>
      </c>
      <c r="Y2" s="252" t="s">
        <v>562</v>
      </c>
      <c r="Z2" s="252" t="s">
        <v>566</v>
      </c>
      <c r="AA2" s="252" t="s">
        <v>570</v>
      </c>
      <c r="AB2" s="252" t="s">
        <v>575</v>
      </c>
      <c r="AC2" s="252" t="s">
        <v>580</v>
      </c>
      <c r="AD2" s="252" t="s">
        <v>881</v>
      </c>
      <c r="AE2" s="252" t="s">
        <v>548</v>
      </c>
      <c r="AF2" s="252" t="s">
        <v>551</v>
      </c>
      <c r="AG2" s="252" t="s">
        <v>554</v>
      </c>
      <c r="AH2" s="252" t="s">
        <v>557</v>
      </c>
      <c r="AI2" s="252" t="s">
        <v>564</v>
      </c>
      <c r="AJ2" s="252" t="s">
        <v>568</v>
      </c>
      <c r="AK2" s="252" t="s">
        <v>572</v>
      </c>
      <c r="AL2" s="252" t="s">
        <v>882</v>
      </c>
      <c r="AM2" s="252" t="s">
        <v>883</v>
      </c>
      <c r="AN2" s="252" t="s">
        <v>577</v>
      </c>
      <c r="AO2" s="252" t="s">
        <v>884</v>
      </c>
      <c r="AP2" s="252" t="s">
        <v>664</v>
      </c>
      <c r="AQ2" s="252" t="s">
        <v>885</v>
      </c>
      <c r="AR2" s="252" t="s">
        <v>886</v>
      </c>
      <c r="AS2" s="252"/>
      <c r="AT2" s="252" t="s">
        <v>583</v>
      </c>
    </row>
    <row r="3" spans="1:46" x14ac:dyDescent="0.2">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row>
    <row r="4" spans="1:46" ht="15" x14ac:dyDescent="0.2">
      <c r="B4" s="211"/>
      <c r="C4" s="211" t="s">
        <v>533</v>
      </c>
      <c r="D4" s="292" t="s">
        <v>887</v>
      </c>
      <c r="E4" s="292" t="s">
        <v>887</v>
      </c>
      <c r="F4" s="292" t="s">
        <v>887</v>
      </c>
      <c r="G4" s="292" t="s">
        <v>887</v>
      </c>
      <c r="H4" s="292" t="s">
        <v>887</v>
      </c>
      <c r="I4" s="292" t="s">
        <v>887</v>
      </c>
      <c r="J4" s="292" t="s">
        <v>887</v>
      </c>
      <c r="K4" s="292" t="s">
        <v>887</v>
      </c>
      <c r="L4" s="292" t="s">
        <v>887</v>
      </c>
      <c r="M4" s="292" t="s">
        <v>887</v>
      </c>
      <c r="N4" s="292" t="s">
        <v>888</v>
      </c>
      <c r="O4" s="292" t="s">
        <v>887</v>
      </c>
      <c r="P4" s="292" t="s">
        <v>889</v>
      </c>
      <c r="Q4" s="292" t="s">
        <v>890</v>
      </c>
      <c r="R4" s="293" t="s">
        <v>891</v>
      </c>
      <c r="S4" s="292" t="s">
        <v>889</v>
      </c>
      <c r="T4" s="292" t="s">
        <v>892</v>
      </c>
      <c r="U4" s="292" t="s">
        <v>893</v>
      </c>
      <c r="V4" s="292" t="s">
        <v>889</v>
      </c>
      <c r="W4" s="292" t="s">
        <v>894</v>
      </c>
      <c r="X4" s="292" t="s">
        <v>895</v>
      </c>
      <c r="Y4" s="292" t="s">
        <v>896</v>
      </c>
      <c r="Z4" s="292" t="s">
        <v>897</v>
      </c>
      <c r="AA4" s="292" t="s">
        <v>889</v>
      </c>
      <c r="AB4" s="292" t="s">
        <v>898</v>
      </c>
      <c r="AC4" s="292" t="s">
        <v>899</v>
      </c>
      <c r="AD4" s="294" t="s">
        <v>533</v>
      </c>
      <c r="AE4" s="294" t="s">
        <v>533</v>
      </c>
      <c r="AF4" s="294" t="s">
        <v>533</v>
      </c>
      <c r="AG4" s="294" t="s">
        <v>533</v>
      </c>
      <c r="AH4" s="294" t="s">
        <v>533</v>
      </c>
      <c r="AI4" s="294" t="s">
        <v>537</v>
      </c>
      <c r="AJ4" s="292" t="s">
        <v>537</v>
      </c>
      <c r="AK4" s="292" t="s">
        <v>537</v>
      </c>
      <c r="AL4" s="292" t="s">
        <v>533</v>
      </c>
      <c r="AM4" s="292" t="s">
        <v>900</v>
      </c>
      <c r="AN4" s="292" t="s">
        <v>537</v>
      </c>
      <c r="AO4" s="292" t="str">
        <f>IF('New KR'!B86=1,"wireless 3G",IF('New KR'!B86=2,"wireless 3G","NA"))</f>
        <v>NA</v>
      </c>
      <c r="AP4" s="292" t="s">
        <v>493</v>
      </c>
      <c r="AQ4" s="292" t="s">
        <v>567</v>
      </c>
      <c r="AR4" s="292" t="s">
        <v>567</v>
      </c>
      <c r="AS4" s="292" t="s">
        <v>48</v>
      </c>
      <c r="AT4" s="292" t="s">
        <v>533</v>
      </c>
    </row>
    <row r="5" spans="1:46" ht="15" x14ac:dyDescent="0.2">
      <c r="B5" s="211"/>
      <c r="C5" s="211" t="s">
        <v>537</v>
      </c>
      <c r="D5" s="292" t="s">
        <v>901</v>
      </c>
      <c r="E5" s="292" t="s">
        <v>901</v>
      </c>
      <c r="F5" s="292" t="s">
        <v>901</v>
      </c>
      <c r="G5" s="292" t="s">
        <v>901</v>
      </c>
      <c r="H5" s="292" t="s">
        <v>901</v>
      </c>
      <c r="I5" s="292" t="s">
        <v>901</v>
      </c>
      <c r="J5" s="292" t="s">
        <v>901</v>
      </c>
      <c r="K5" s="292" t="s">
        <v>901</v>
      </c>
      <c r="L5" s="292" t="s">
        <v>901</v>
      </c>
      <c r="M5" s="292" t="s">
        <v>901</v>
      </c>
      <c r="N5" s="292" t="s">
        <v>902</v>
      </c>
      <c r="O5" s="292" t="s">
        <v>901</v>
      </c>
      <c r="P5" s="211"/>
      <c r="Q5" s="292" t="s">
        <v>903</v>
      </c>
      <c r="R5" s="293" t="s">
        <v>904</v>
      </c>
      <c r="T5" s="292" t="s">
        <v>905</v>
      </c>
      <c r="U5" s="292" t="s">
        <v>906</v>
      </c>
      <c r="W5" s="292" t="s">
        <v>907</v>
      </c>
      <c r="X5" s="292" t="s">
        <v>908</v>
      </c>
      <c r="Y5" s="292" t="s">
        <v>909</v>
      </c>
      <c r="Z5" s="292" t="s">
        <v>910</v>
      </c>
      <c r="AB5" s="292" t="s">
        <v>911</v>
      </c>
      <c r="AC5" s="292" t="s">
        <v>912</v>
      </c>
      <c r="AD5" s="294" t="s">
        <v>537</v>
      </c>
      <c r="AE5" s="294" t="s">
        <v>537</v>
      </c>
      <c r="AF5" s="294" t="s">
        <v>537</v>
      </c>
      <c r="AG5" s="294" t="s">
        <v>537</v>
      </c>
      <c r="AH5" s="294" t="s">
        <v>537</v>
      </c>
      <c r="AI5" s="294" t="s">
        <v>541</v>
      </c>
      <c r="AJ5" s="294" t="s">
        <v>541</v>
      </c>
      <c r="AK5" s="294" t="s">
        <v>541</v>
      </c>
      <c r="AL5" s="294" t="s">
        <v>537</v>
      </c>
      <c r="AM5" s="292" t="s">
        <v>913</v>
      </c>
      <c r="AN5" s="294" t="s">
        <v>541</v>
      </c>
      <c r="AO5" s="292" t="str">
        <f>IF('New KR'!B86=1,"wireless 3G",IF('New KR'!B86=2,"wireless 4G","NA"))</f>
        <v>NA</v>
      </c>
      <c r="AP5" s="292" t="s">
        <v>111</v>
      </c>
      <c r="AQ5" s="292" t="s">
        <v>621</v>
      </c>
      <c r="AR5" s="292" t="s">
        <v>621</v>
      </c>
      <c r="AS5" s="292" t="s">
        <v>48</v>
      </c>
      <c r="AT5" s="292" t="s">
        <v>541</v>
      </c>
    </row>
    <row r="6" spans="1:46" ht="15" x14ac:dyDescent="0.2">
      <c r="B6" s="211"/>
      <c r="C6" s="211" t="s">
        <v>541</v>
      </c>
      <c r="D6" s="292" t="s">
        <v>914</v>
      </c>
      <c r="E6" s="292" t="s">
        <v>914</v>
      </c>
      <c r="F6" s="292" t="s">
        <v>914</v>
      </c>
      <c r="G6" s="292" t="s">
        <v>914</v>
      </c>
      <c r="H6" s="292" t="s">
        <v>914</v>
      </c>
      <c r="I6" s="292" t="s">
        <v>914</v>
      </c>
      <c r="J6" s="292" t="s">
        <v>914</v>
      </c>
      <c r="K6" s="292" t="s">
        <v>914</v>
      </c>
      <c r="L6" s="292" t="s">
        <v>914</v>
      </c>
      <c r="M6" s="292" t="s">
        <v>914</v>
      </c>
      <c r="N6" s="292" t="s">
        <v>915</v>
      </c>
      <c r="O6" s="292" t="s">
        <v>914</v>
      </c>
      <c r="P6" s="211"/>
      <c r="Q6" s="292" t="s">
        <v>916</v>
      </c>
      <c r="R6" s="293" t="s">
        <v>917</v>
      </c>
      <c r="T6" s="292" t="s">
        <v>918</v>
      </c>
      <c r="U6" s="292" t="s">
        <v>919</v>
      </c>
      <c r="W6" s="292" t="s">
        <v>920</v>
      </c>
      <c r="X6" s="292" t="s">
        <v>921</v>
      </c>
      <c r="Y6" s="292" t="s">
        <v>922</v>
      </c>
      <c r="Z6" s="292" t="s">
        <v>923</v>
      </c>
      <c r="AB6" s="292" t="s">
        <v>924</v>
      </c>
      <c r="AC6" s="292" t="s">
        <v>925</v>
      </c>
      <c r="AD6" s="294" t="s">
        <v>541</v>
      </c>
      <c r="AE6" s="294" t="s">
        <v>541</v>
      </c>
      <c r="AF6" s="294" t="s">
        <v>541</v>
      </c>
      <c r="AG6" s="294" t="s">
        <v>541</v>
      </c>
      <c r="AH6" s="294" t="s">
        <v>541</v>
      </c>
      <c r="AI6" s="294" t="s">
        <v>547</v>
      </c>
      <c r="AJ6" s="294" t="s">
        <v>547</v>
      </c>
      <c r="AK6" s="294" t="s">
        <v>547</v>
      </c>
      <c r="AL6" s="294" t="s">
        <v>541</v>
      </c>
      <c r="AM6" s="292" t="s">
        <v>926</v>
      </c>
      <c r="AN6" s="294" t="s">
        <v>547</v>
      </c>
      <c r="AP6" s="292" t="s">
        <v>495</v>
      </c>
      <c r="AQ6" s="292" t="s">
        <v>635</v>
      </c>
      <c r="AR6" s="292" t="s">
        <v>635</v>
      </c>
      <c r="AS6" s="292" t="s">
        <v>48</v>
      </c>
      <c r="AT6" s="292" t="s">
        <v>547</v>
      </c>
    </row>
    <row r="7" spans="1:46" ht="15" x14ac:dyDescent="0.2">
      <c r="B7" s="211"/>
      <c r="C7" s="211" t="s">
        <v>547</v>
      </c>
      <c r="D7" s="292" t="s">
        <v>927</v>
      </c>
      <c r="E7" s="292" t="s">
        <v>927</v>
      </c>
      <c r="F7" s="292" t="s">
        <v>927</v>
      </c>
      <c r="G7" s="292" t="s">
        <v>927</v>
      </c>
      <c r="H7" s="292" t="s">
        <v>927</v>
      </c>
      <c r="I7" s="292" t="s">
        <v>927</v>
      </c>
      <c r="J7" s="292" t="s">
        <v>927</v>
      </c>
      <c r="K7" s="292" t="s">
        <v>927</v>
      </c>
      <c r="L7" s="292" t="s">
        <v>927</v>
      </c>
      <c r="M7" s="292" t="s">
        <v>927</v>
      </c>
      <c r="N7" s="292" t="s">
        <v>928</v>
      </c>
      <c r="O7" s="292" t="s">
        <v>927</v>
      </c>
      <c r="P7" s="211"/>
      <c r="Q7" s="292" t="s">
        <v>929</v>
      </c>
      <c r="R7" s="293" t="s">
        <v>930</v>
      </c>
      <c r="T7" s="292" t="s">
        <v>931</v>
      </c>
      <c r="U7" s="292" t="s">
        <v>932</v>
      </c>
      <c r="W7" s="292" t="s">
        <v>933</v>
      </c>
      <c r="X7" s="292" t="s">
        <v>934</v>
      </c>
      <c r="Y7" s="292" t="s">
        <v>935</v>
      </c>
      <c r="Z7" s="292" t="s">
        <v>936</v>
      </c>
      <c r="AB7" s="292" t="s">
        <v>937</v>
      </c>
      <c r="AC7"/>
      <c r="AD7" s="294" t="s">
        <v>547</v>
      </c>
      <c r="AE7" s="294" t="s">
        <v>547</v>
      </c>
      <c r="AF7" s="294" t="s">
        <v>547</v>
      </c>
      <c r="AG7" s="294" t="s">
        <v>547</v>
      </c>
      <c r="AH7" s="294" t="s">
        <v>547</v>
      </c>
      <c r="AI7" s="294" t="s">
        <v>493</v>
      </c>
      <c r="AJ7" s="294" t="s">
        <v>493</v>
      </c>
      <c r="AK7" s="294" t="s">
        <v>493</v>
      </c>
      <c r="AL7" s="294" t="s">
        <v>547</v>
      </c>
      <c r="AM7" s="292" t="s">
        <v>938</v>
      </c>
      <c r="AN7" s="294" t="s">
        <v>493</v>
      </c>
      <c r="AP7" s="292" t="s">
        <v>496</v>
      </c>
      <c r="AQ7" s="292" t="s">
        <v>647</v>
      </c>
      <c r="AR7" s="292" t="s">
        <v>647</v>
      </c>
      <c r="AS7" s="292" t="s">
        <v>48</v>
      </c>
      <c r="AT7" s="292" t="s">
        <v>493</v>
      </c>
    </row>
    <row r="8" spans="1:46" ht="15" x14ac:dyDescent="0.2">
      <c r="B8" s="211"/>
      <c r="C8" s="211" t="s">
        <v>493</v>
      </c>
      <c r="D8" s="292" t="s">
        <v>939</v>
      </c>
      <c r="E8" s="292" t="s">
        <v>939</v>
      </c>
      <c r="F8" s="292" t="s">
        <v>939</v>
      </c>
      <c r="G8" s="292" t="s">
        <v>939</v>
      </c>
      <c r="H8" s="292" t="s">
        <v>939</v>
      </c>
      <c r="I8" s="292" t="s">
        <v>939</v>
      </c>
      <c r="J8" s="292" t="s">
        <v>939</v>
      </c>
      <c r="K8" s="292" t="s">
        <v>939</v>
      </c>
      <c r="L8" s="292" t="s">
        <v>939</v>
      </c>
      <c r="M8" s="292" t="s">
        <v>939</v>
      </c>
      <c r="N8" s="292" t="s">
        <v>940</v>
      </c>
      <c r="O8" s="292" t="s">
        <v>939</v>
      </c>
      <c r="P8" s="211"/>
      <c r="Q8" s="292" t="s">
        <v>941</v>
      </c>
      <c r="R8" s="293" t="s">
        <v>942</v>
      </c>
      <c r="T8" s="292" t="s">
        <v>943</v>
      </c>
      <c r="U8" s="292" t="s">
        <v>944</v>
      </c>
      <c r="W8" s="292" t="s">
        <v>945</v>
      </c>
      <c r="X8" s="292" t="s">
        <v>946</v>
      </c>
      <c r="Y8" s="292" t="s">
        <v>947</v>
      </c>
      <c r="Z8" s="292" t="s">
        <v>948</v>
      </c>
      <c r="AB8" s="292" t="s">
        <v>949</v>
      </c>
      <c r="AC8"/>
      <c r="AD8" s="294" t="s">
        <v>493</v>
      </c>
      <c r="AE8" s="294" t="s">
        <v>493</v>
      </c>
      <c r="AF8" s="294" t="s">
        <v>493</v>
      </c>
      <c r="AG8" s="294" t="s">
        <v>493</v>
      </c>
      <c r="AH8" s="294" t="s">
        <v>493</v>
      </c>
      <c r="AI8" s="294" t="s">
        <v>494</v>
      </c>
      <c r="AJ8" s="294" t="s">
        <v>111</v>
      </c>
      <c r="AK8" s="294" t="s">
        <v>494</v>
      </c>
      <c r="AL8" s="294" t="s">
        <v>493</v>
      </c>
      <c r="AM8" s="292" t="s">
        <v>950</v>
      </c>
      <c r="AN8" s="294" t="s">
        <v>494</v>
      </c>
      <c r="AP8" s="292" t="s">
        <v>497</v>
      </c>
      <c r="AQ8" s="292" t="s">
        <v>648</v>
      </c>
      <c r="AR8" s="292" t="s">
        <v>648</v>
      </c>
      <c r="AS8" s="292" t="s">
        <v>48</v>
      </c>
      <c r="AT8" s="292" t="s">
        <v>111</v>
      </c>
    </row>
    <row r="9" spans="1:46" ht="15" x14ac:dyDescent="0.2">
      <c r="B9" s="211"/>
      <c r="C9" s="211" t="s">
        <v>494</v>
      </c>
      <c r="D9" s="292" t="s">
        <v>951</v>
      </c>
      <c r="E9" s="292" t="s">
        <v>951</v>
      </c>
      <c r="F9" s="292" t="s">
        <v>951</v>
      </c>
      <c r="G9" s="292" t="s">
        <v>951</v>
      </c>
      <c r="H9" s="292" t="s">
        <v>951</v>
      </c>
      <c r="I9" s="292" t="s">
        <v>951</v>
      </c>
      <c r="J9" s="292" t="s">
        <v>951</v>
      </c>
      <c r="K9" s="292" t="s">
        <v>951</v>
      </c>
      <c r="L9" s="292" t="s">
        <v>951</v>
      </c>
      <c r="M9" s="292" t="s">
        <v>951</v>
      </c>
      <c r="N9" s="292" t="s">
        <v>952</v>
      </c>
      <c r="O9" s="292" t="s">
        <v>951</v>
      </c>
      <c r="P9" s="211"/>
      <c r="Q9" s="292" t="s">
        <v>953</v>
      </c>
      <c r="R9" s="293"/>
      <c r="T9" s="292" t="s">
        <v>954</v>
      </c>
      <c r="U9" s="292" t="s">
        <v>955</v>
      </c>
      <c r="W9" s="292" t="s">
        <v>956</v>
      </c>
      <c r="X9" s="292" t="s">
        <v>957</v>
      </c>
      <c r="Y9" s="292" t="s">
        <v>958</v>
      </c>
      <c r="Z9" s="292" t="s">
        <v>959</v>
      </c>
      <c r="AC9"/>
      <c r="AD9" s="294" t="s">
        <v>494</v>
      </c>
      <c r="AE9" s="294" t="s">
        <v>494</v>
      </c>
      <c r="AF9" s="294" t="s">
        <v>494</v>
      </c>
      <c r="AG9" s="294" t="s">
        <v>494</v>
      </c>
      <c r="AH9" s="294" t="s">
        <v>494</v>
      </c>
      <c r="AI9" s="294" t="s">
        <v>111</v>
      </c>
      <c r="AJ9" s="294" t="s">
        <v>495</v>
      </c>
      <c r="AK9" s="294" t="s">
        <v>111</v>
      </c>
      <c r="AL9" s="294" t="s">
        <v>494</v>
      </c>
      <c r="AM9" s="292" t="s">
        <v>960</v>
      </c>
      <c r="AN9" s="294" t="s">
        <v>111</v>
      </c>
      <c r="AP9" s="292" t="s">
        <v>498</v>
      </c>
      <c r="AQ9" s="292" t="s">
        <v>649</v>
      </c>
      <c r="AR9" s="292" t="s">
        <v>649</v>
      </c>
      <c r="AS9" s="292" t="s">
        <v>48</v>
      </c>
      <c r="AT9" s="292" t="s">
        <v>495</v>
      </c>
    </row>
    <row r="10" spans="1:46" x14ac:dyDescent="0.2">
      <c r="B10" s="211"/>
      <c r="C10" s="211" t="s">
        <v>111</v>
      </c>
      <c r="D10" s="292" t="s">
        <v>961</v>
      </c>
      <c r="E10" s="292" t="s">
        <v>961</v>
      </c>
      <c r="F10" s="292" t="s">
        <v>961</v>
      </c>
      <c r="G10" s="292" t="s">
        <v>961</v>
      </c>
      <c r="H10" s="292" t="s">
        <v>961</v>
      </c>
      <c r="I10" s="292" t="s">
        <v>961</v>
      </c>
      <c r="J10" s="292" t="s">
        <v>961</v>
      </c>
      <c r="K10" s="292" t="s">
        <v>961</v>
      </c>
      <c r="L10" s="292" t="s">
        <v>961</v>
      </c>
      <c r="M10" s="292" t="s">
        <v>961</v>
      </c>
      <c r="N10" s="292" t="s">
        <v>887</v>
      </c>
      <c r="O10" s="292" t="s">
        <v>961</v>
      </c>
      <c r="P10" s="211"/>
      <c r="Q10" s="292" t="s">
        <v>962</v>
      </c>
      <c r="T10" s="292" t="s">
        <v>963</v>
      </c>
      <c r="U10" s="292" t="s">
        <v>964</v>
      </c>
      <c r="W10" s="292" t="s">
        <v>965</v>
      </c>
      <c r="X10" s="292" t="s">
        <v>966</v>
      </c>
      <c r="Y10"/>
      <c r="Z10" s="292" t="s">
        <v>967</v>
      </c>
      <c r="AC10"/>
      <c r="AD10" s="294" t="s">
        <v>111</v>
      </c>
      <c r="AE10" s="294" t="s">
        <v>111</v>
      </c>
      <c r="AF10" s="294" t="s">
        <v>111</v>
      </c>
      <c r="AG10" s="294" t="s">
        <v>111</v>
      </c>
      <c r="AH10" s="294" t="s">
        <v>111</v>
      </c>
      <c r="AI10" s="294" t="s">
        <v>495</v>
      </c>
      <c r="AJ10" s="294" t="s">
        <v>496</v>
      </c>
      <c r="AK10" s="294" t="s">
        <v>497</v>
      </c>
      <c r="AL10" s="294" t="s">
        <v>111</v>
      </c>
      <c r="AM10" s="292" t="s">
        <v>968</v>
      </c>
      <c r="AN10" s="294" t="s">
        <v>497</v>
      </c>
      <c r="AP10" s="292" t="s">
        <v>499</v>
      </c>
      <c r="AQ10" s="292" t="s">
        <v>650</v>
      </c>
      <c r="AR10" s="292" t="s">
        <v>650</v>
      </c>
      <c r="AS10" s="292" t="s">
        <v>48</v>
      </c>
      <c r="AT10" s="292" t="s">
        <v>496</v>
      </c>
    </row>
    <row r="11" spans="1:46" x14ac:dyDescent="0.2">
      <c r="B11" s="211"/>
      <c r="C11" s="211" t="s">
        <v>495</v>
      </c>
      <c r="D11" s="292" t="s">
        <v>969</v>
      </c>
      <c r="E11" s="292" t="s">
        <v>969</v>
      </c>
      <c r="F11" s="292" t="s">
        <v>969</v>
      </c>
      <c r="G11" s="292" t="s">
        <v>969</v>
      </c>
      <c r="H11" s="292" t="s">
        <v>969</v>
      </c>
      <c r="I11" s="292" t="s">
        <v>969</v>
      </c>
      <c r="J11" s="292" t="s">
        <v>969</v>
      </c>
      <c r="K11" s="292" t="s">
        <v>969</v>
      </c>
      <c r="L11" s="292" t="s">
        <v>969</v>
      </c>
      <c r="M11" s="292" t="s">
        <v>969</v>
      </c>
      <c r="N11" s="292" t="s">
        <v>901</v>
      </c>
      <c r="O11" s="292" t="s">
        <v>969</v>
      </c>
      <c r="P11" s="211"/>
      <c r="Q11" s="292" t="s">
        <v>970</v>
      </c>
      <c r="T11" s="292" t="s">
        <v>971</v>
      </c>
      <c r="U11" s="292" t="s">
        <v>972</v>
      </c>
      <c r="W11" s="292" t="s">
        <v>973</v>
      </c>
      <c r="X11" s="292" t="s">
        <v>974</v>
      </c>
      <c r="Y11"/>
      <c r="Z11" s="292" t="s">
        <v>975</v>
      </c>
      <c r="AC11"/>
      <c r="AD11" s="294" t="s">
        <v>495</v>
      </c>
      <c r="AE11" s="294" t="s">
        <v>495</v>
      </c>
      <c r="AF11" s="294" t="s">
        <v>495</v>
      </c>
      <c r="AG11" s="294" t="s">
        <v>495</v>
      </c>
      <c r="AH11" s="294" t="s">
        <v>495</v>
      </c>
      <c r="AI11" s="294" t="s">
        <v>496</v>
      </c>
      <c r="AJ11" s="294" t="s">
        <v>497</v>
      </c>
      <c r="AK11" s="294" t="s">
        <v>500</v>
      </c>
      <c r="AL11" s="294" t="s">
        <v>495</v>
      </c>
      <c r="AM11" s="292" t="s">
        <v>976</v>
      </c>
      <c r="AN11" s="294" t="s">
        <v>500</v>
      </c>
      <c r="AP11" s="292" t="s">
        <v>500</v>
      </c>
      <c r="AQ11" s="292" t="s">
        <v>977</v>
      </c>
      <c r="AS11" s="292" t="s">
        <v>48</v>
      </c>
      <c r="AT11" s="294" t="s">
        <v>497</v>
      </c>
    </row>
    <row r="12" spans="1:46" x14ac:dyDescent="0.2">
      <c r="B12" s="211"/>
      <c r="C12" s="211" t="s">
        <v>496</v>
      </c>
      <c r="D12" s="292" t="s">
        <v>978</v>
      </c>
      <c r="E12" s="292" t="s">
        <v>978</v>
      </c>
      <c r="F12" s="292" t="s">
        <v>978</v>
      </c>
      <c r="G12" s="292" t="s">
        <v>978</v>
      </c>
      <c r="H12" s="292" t="s">
        <v>978</v>
      </c>
      <c r="I12" s="292" t="s">
        <v>978</v>
      </c>
      <c r="J12" s="292" t="s">
        <v>978</v>
      </c>
      <c r="K12" s="292" t="s">
        <v>978</v>
      </c>
      <c r="L12" s="292" t="s">
        <v>978</v>
      </c>
      <c r="M12" s="292" t="s">
        <v>978</v>
      </c>
      <c r="N12" s="292" t="s">
        <v>914</v>
      </c>
      <c r="O12" s="292" t="s">
        <v>978</v>
      </c>
      <c r="P12" s="211"/>
      <c r="T12" s="292" t="s">
        <v>979</v>
      </c>
      <c r="U12" s="292" t="s">
        <v>980</v>
      </c>
      <c r="W12" s="292" t="s">
        <v>981</v>
      </c>
      <c r="X12" s="292" t="s">
        <v>982</v>
      </c>
      <c r="Y12"/>
      <c r="Z12" s="292" t="s">
        <v>983</v>
      </c>
      <c r="AC12"/>
      <c r="AD12" s="294" t="s">
        <v>496</v>
      </c>
      <c r="AE12" s="294" t="s">
        <v>496</v>
      </c>
      <c r="AF12" s="294" t="s">
        <v>496</v>
      </c>
      <c r="AG12" s="294" t="s">
        <v>496</v>
      </c>
      <c r="AH12" s="294" t="s">
        <v>496</v>
      </c>
      <c r="AI12" s="294" t="s">
        <v>497</v>
      </c>
      <c r="AJ12" s="294" t="s">
        <v>498</v>
      </c>
      <c r="AK12" s="294" t="s">
        <v>567</v>
      </c>
      <c r="AL12" s="294" t="s">
        <v>496</v>
      </c>
      <c r="AM12" s="292" t="s">
        <v>984</v>
      </c>
      <c r="AN12" s="294" t="s">
        <v>567</v>
      </c>
      <c r="AP12" s="292" t="s">
        <v>563</v>
      </c>
      <c r="AT12" s="294" t="s">
        <v>498</v>
      </c>
    </row>
    <row r="13" spans="1:46" x14ac:dyDescent="0.2">
      <c r="B13" s="211"/>
      <c r="C13" s="211" t="s">
        <v>497</v>
      </c>
      <c r="D13" s="292" t="s">
        <v>985</v>
      </c>
      <c r="E13" s="292" t="s">
        <v>985</v>
      </c>
      <c r="F13" s="292" t="s">
        <v>985</v>
      </c>
      <c r="G13" s="292" t="s">
        <v>985</v>
      </c>
      <c r="H13" s="292" t="s">
        <v>985</v>
      </c>
      <c r="I13" s="292" t="s">
        <v>985</v>
      </c>
      <c r="J13" s="292" t="s">
        <v>985</v>
      </c>
      <c r="K13" s="292" t="s">
        <v>985</v>
      </c>
      <c r="L13" s="292" t="s">
        <v>985</v>
      </c>
      <c r="M13" s="292" t="s">
        <v>985</v>
      </c>
      <c r="N13" s="292" t="s">
        <v>927</v>
      </c>
      <c r="O13" s="292" t="s">
        <v>985</v>
      </c>
      <c r="P13" s="211"/>
      <c r="T13" s="292" t="s">
        <v>986</v>
      </c>
      <c r="U13" s="292" t="s">
        <v>987</v>
      </c>
      <c r="W13" s="292" t="s">
        <v>988</v>
      </c>
      <c r="X13" s="292" t="s">
        <v>989</v>
      </c>
      <c r="Y13"/>
      <c r="Z13" s="292" t="s">
        <v>990</v>
      </c>
      <c r="AC13"/>
      <c r="AD13" s="294" t="s">
        <v>497</v>
      </c>
      <c r="AE13" s="294" t="s">
        <v>497</v>
      </c>
      <c r="AF13" s="294" t="s">
        <v>497</v>
      </c>
      <c r="AG13" s="294" t="s">
        <v>497</v>
      </c>
      <c r="AH13" s="294" t="s">
        <v>497</v>
      </c>
      <c r="AI13" s="294" t="s">
        <v>498</v>
      </c>
      <c r="AJ13" s="294" t="s">
        <v>499</v>
      </c>
      <c r="AK13" s="294" t="s">
        <v>571</v>
      </c>
      <c r="AL13" s="294" t="s">
        <v>497</v>
      </c>
      <c r="AM13" s="292" t="s">
        <v>991</v>
      </c>
      <c r="AN13" s="294" t="s">
        <v>571</v>
      </c>
      <c r="AP13" s="292" t="s">
        <v>567</v>
      </c>
      <c r="AT13" s="294" t="s">
        <v>499</v>
      </c>
    </row>
    <row r="14" spans="1:46" x14ac:dyDescent="0.2">
      <c r="B14" s="211"/>
      <c r="C14" s="211" t="s">
        <v>498</v>
      </c>
      <c r="D14" s="292" t="s">
        <v>992</v>
      </c>
      <c r="E14" s="292" t="s">
        <v>992</v>
      </c>
      <c r="F14" s="292" t="s">
        <v>992</v>
      </c>
      <c r="G14" s="292" t="s">
        <v>992</v>
      </c>
      <c r="H14" s="292" t="s">
        <v>992</v>
      </c>
      <c r="I14" s="292" t="s">
        <v>992</v>
      </c>
      <c r="J14" s="292" t="s">
        <v>992</v>
      </c>
      <c r="K14" s="292" t="s">
        <v>992</v>
      </c>
      <c r="L14" s="292" t="s">
        <v>992</v>
      </c>
      <c r="M14" s="292" t="s">
        <v>992</v>
      </c>
      <c r="N14" s="292" t="s">
        <v>939</v>
      </c>
      <c r="O14" s="292" t="s">
        <v>992</v>
      </c>
      <c r="P14" s="211"/>
      <c r="T14" s="292" t="s">
        <v>993</v>
      </c>
      <c r="U14" s="292" t="s">
        <v>994</v>
      </c>
      <c r="W14" s="292" t="s">
        <v>995</v>
      </c>
      <c r="X14" s="292" t="s">
        <v>996</v>
      </c>
      <c r="Y14"/>
      <c r="Z14" s="292" t="s">
        <v>997</v>
      </c>
      <c r="AC14"/>
      <c r="AD14" s="294" t="s">
        <v>498</v>
      </c>
      <c r="AE14" s="294" t="s">
        <v>498</v>
      </c>
      <c r="AF14" s="294" t="s">
        <v>498</v>
      </c>
      <c r="AG14" s="294" t="s">
        <v>498</v>
      </c>
      <c r="AH14" s="294" t="s">
        <v>498</v>
      </c>
      <c r="AI14" s="294" t="s">
        <v>499</v>
      </c>
      <c r="AJ14" s="294" t="s">
        <v>500</v>
      </c>
      <c r="AK14" s="294" t="s">
        <v>576</v>
      </c>
      <c r="AL14" s="294" t="s">
        <v>498</v>
      </c>
      <c r="AM14" s="292" t="s">
        <v>998</v>
      </c>
      <c r="AN14" s="294" t="s">
        <v>576</v>
      </c>
      <c r="AP14" s="294" t="s">
        <v>591</v>
      </c>
      <c r="AT14" s="294" t="s">
        <v>500</v>
      </c>
    </row>
    <row r="15" spans="1:46" x14ac:dyDescent="0.2">
      <c r="B15" s="211"/>
      <c r="C15" s="211" t="s">
        <v>499</v>
      </c>
      <c r="D15" s="292" t="s">
        <v>999</v>
      </c>
      <c r="E15" s="292" t="s">
        <v>999</v>
      </c>
      <c r="F15" s="292" t="s">
        <v>999</v>
      </c>
      <c r="G15" s="292" t="s">
        <v>999</v>
      </c>
      <c r="H15" s="292" t="s">
        <v>999</v>
      </c>
      <c r="I15" s="292" t="s">
        <v>999</v>
      </c>
      <c r="J15" s="292" t="s">
        <v>999</v>
      </c>
      <c r="K15" s="292" t="s">
        <v>999</v>
      </c>
      <c r="L15" s="292" t="s">
        <v>999</v>
      </c>
      <c r="M15" s="292" t="s">
        <v>999</v>
      </c>
      <c r="N15" s="292" t="s">
        <v>951</v>
      </c>
      <c r="O15" s="292" t="s">
        <v>999</v>
      </c>
      <c r="P15" s="211"/>
      <c r="T15" s="292" t="s">
        <v>1000</v>
      </c>
      <c r="W15" s="292" t="s">
        <v>1001</v>
      </c>
      <c r="X15" s="292" t="s">
        <v>1002</v>
      </c>
      <c r="Y15"/>
      <c r="Z15" s="292" t="s">
        <v>1003</v>
      </c>
      <c r="AC15"/>
      <c r="AD15" s="294" t="s">
        <v>499</v>
      </c>
      <c r="AE15" s="294" t="s">
        <v>499</v>
      </c>
      <c r="AF15" s="294" t="s">
        <v>499</v>
      </c>
      <c r="AG15" s="294" t="s">
        <v>499</v>
      </c>
      <c r="AH15" s="294" t="s">
        <v>499</v>
      </c>
      <c r="AI15" s="294" t="s">
        <v>500</v>
      </c>
      <c r="AJ15" s="294" t="s">
        <v>563</v>
      </c>
      <c r="AK15" s="294" t="s">
        <v>582</v>
      </c>
      <c r="AL15" s="294" t="s">
        <v>499</v>
      </c>
      <c r="AM15" s="292" t="s">
        <v>1004</v>
      </c>
      <c r="AN15" s="294" t="s">
        <v>582</v>
      </c>
      <c r="AP15" s="294" t="s">
        <v>571</v>
      </c>
      <c r="AT15" s="294" t="s">
        <v>563</v>
      </c>
    </row>
    <row r="16" spans="1:46" x14ac:dyDescent="0.2">
      <c r="B16" s="211"/>
      <c r="C16" s="211" t="s">
        <v>500</v>
      </c>
      <c r="D16" s="292" t="s">
        <v>1005</v>
      </c>
      <c r="E16" s="292" t="s">
        <v>1005</v>
      </c>
      <c r="F16" s="292" t="s">
        <v>1005</v>
      </c>
      <c r="G16" s="292" t="s">
        <v>1005</v>
      </c>
      <c r="H16" s="292" t="s">
        <v>1005</v>
      </c>
      <c r="I16" s="292" t="s">
        <v>1005</v>
      </c>
      <c r="J16" s="292" t="s">
        <v>1005</v>
      </c>
      <c r="K16" s="292" t="s">
        <v>1005</v>
      </c>
      <c r="L16" s="292" t="s">
        <v>1005</v>
      </c>
      <c r="M16" s="292" t="s">
        <v>1005</v>
      </c>
      <c r="N16" s="292" t="s">
        <v>961</v>
      </c>
      <c r="O16" s="292" t="s">
        <v>1005</v>
      </c>
      <c r="P16" s="211"/>
      <c r="T16" s="292" t="s">
        <v>1006</v>
      </c>
      <c r="W16" s="292" t="s">
        <v>1007</v>
      </c>
      <c r="X16" s="292" t="s">
        <v>1008</v>
      </c>
      <c r="Y16"/>
      <c r="Z16" s="292" t="s">
        <v>1009</v>
      </c>
      <c r="AC16"/>
      <c r="AD16" s="294" t="s">
        <v>500</v>
      </c>
      <c r="AE16" s="294" t="s">
        <v>500</v>
      </c>
      <c r="AF16" s="294" t="s">
        <v>500</v>
      </c>
      <c r="AG16" s="294" t="s">
        <v>500</v>
      </c>
      <c r="AH16" s="294" t="s">
        <v>500</v>
      </c>
      <c r="AI16" s="294" t="s">
        <v>563</v>
      </c>
      <c r="AJ16" s="294" t="s">
        <v>567</v>
      </c>
      <c r="AK16" s="294" t="s">
        <v>586</v>
      </c>
      <c r="AL16" s="294" t="s">
        <v>500</v>
      </c>
      <c r="AN16" s="294" t="s">
        <v>586</v>
      </c>
      <c r="AP16" s="294" t="s">
        <v>605</v>
      </c>
      <c r="AT16" s="294" t="s">
        <v>567</v>
      </c>
    </row>
    <row r="17" spans="2:46" x14ac:dyDescent="0.2">
      <c r="B17" s="211"/>
      <c r="C17" s="211" t="s">
        <v>563</v>
      </c>
      <c r="D17" s="292" t="s">
        <v>1010</v>
      </c>
      <c r="E17" s="292" t="s">
        <v>1010</v>
      </c>
      <c r="F17" s="292" t="s">
        <v>1010</v>
      </c>
      <c r="G17" s="292" t="s">
        <v>1011</v>
      </c>
      <c r="H17" s="292" t="s">
        <v>1010</v>
      </c>
      <c r="I17" s="292" t="s">
        <v>1010</v>
      </c>
      <c r="J17" s="292" t="s">
        <v>1010</v>
      </c>
      <c r="K17" s="292" t="s">
        <v>1010</v>
      </c>
      <c r="M17" s="292" t="s">
        <v>1010</v>
      </c>
      <c r="N17" s="292" t="s">
        <v>969</v>
      </c>
      <c r="O17" s="292" t="s">
        <v>1010</v>
      </c>
      <c r="P17" s="211"/>
      <c r="T17" s="292" t="s">
        <v>1012</v>
      </c>
      <c r="W17" s="292" t="s">
        <v>1013</v>
      </c>
      <c r="X17" s="292" t="s">
        <v>1014</v>
      </c>
      <c r="Y17"/>
      <c r="Z17" s="292" t="s">
        <v>1015</v>
      </c>
      <c r="AC17"/>
      <c r="AD17" s="294" t="s">
        <v>563</v>
      </c>
      <c r="AE17" s="294" t="s">
        <v>563</v>
      </c>
      <c r="AF17" s="294" t="s">
        <v>563</v>
      </c>
      <c r="AG17" s="294" t="s">
        <v>563</v>
      </c>
      <c r="AH17" s="294" t="s">
        <v>563</v>
      </c>
      <c r="AI17" s="294" t="s">
        <v>567</v>
      </c>
      <c r="AJ17" s="294"/>
      <c r="AK17" s="294" t="s">
        <v>106</v>
      </c>
      <c r="AL17" s="294" t="s">
        <v>563</v>
      </c>
      <c r="AN17" s="294" t="s">
        <v>106</v>
      </c>
      <c r="AP17" s="292" t="s">
        <v>576</v>
      </c>
      <c r="AT17" s="292" t="s">
        <v>106</v>
      </c>
    </row>
    <row r="18" spans="2:46" x14ac:dyDescent="0.2">
      <c r="B18" s="211"/>
      <c r="C18" s="211" t="s">
        <v>567</v>
      </c>
      <c r="D18" s="292" t="s">
        <v>1016</v>
      </c>
      <c r="E18" s="292" t="s">
        <v>1016</v>
      </c>
      <c r="F18" s="292" t="s">
        <v>1016</v>
      </c>
      <c r="G18" s="292" t="s">
        <v>1010</v>
      </c>
      <c r="H18" s="292" t="s">
        <v>1016</v>
      </c>
      <c r="I18" s="292" t="s">
        <v>1016</v>
      </c>
      <c r="J18" s="292" t="s">
        <v>1016</v>
      </c>
      <c r="K18" s="292" t="s">
        <v>1016</v>
      </c>
      <c r="M18" s="292" t="s">
        <v>1016</v>
      </c>
      <c r="N18" s="292" t="s">
        <v>978</v>
      </c>
      <c r="O18" s="292" t="s">
        <v>1016</v>
      </c>
      <c r="P18" s="211"/>
      <c r="T18" s="292" t="s">
        <v>1017</v>
      </c>
      <c r="W18" s="292" t="s">
        <v>1018</v>
      </c>
      <c r="X18" s="292" t="s">
        <v>1019</v>
      </c>
      <c r="Y18"/>
      <c r="Z18" s="292" t="s">
        <v>1020</v>
      </c>
      <c r="AC18"/>
      <c r="AD18" s="294" t="s">
        <v>567</v>
      </c>
      <c r="AE18" s="294" t="s">
        <v>567</v>
      </c>
      <c r="AF18" s="294" t="s">
        <v>567</v>
      </c>
      <c r="AG18" s="294" t="s">
        <v>567</v>
      </c>
      <c r="AH18" s="294" t="s">
        <v>567</v>
      </c>
      <c r="AI18"/>
      <c r="AJ18" s="294"/>
      <c r="AK18" s="294" t="s">
        <v>612</v>
      </c>
      <c r="AL18" s="294" t="s">
        <v>567</v>
      </c>
      <c r="AN18" s="294" t="s">
        <v>612</v>
      </c>
      <c r="AP18" s="292" t="s">
        <v>611</v>
      </c>
      <c r="AT18" s="292" t="s">
        <v>612</v>
      </c>
    </row>
    <row r="19" spans="2:46" x14ac:dyDescent="0.2">
      <c r="B19" s="211"/>
      <c r="C19" s="211" t="s">
        <v>591</v>
      </c>
      <c r="D19" s="292" t="s">
        <v>1021</v>
      </c>
      <c r="E19" s="292" t="s">
        <v>1021</v>
      </c>
      <c r="F19" s="292" t="s">
        <v>1021</v>
      </c>
      <c r="G19" s="292" t="s">
        <v>1022</v>
      </c>
      <c r="H19" s="292" t="s">
        <v>1021</v>
      </c>
      <c r="I19" s="292" t="s">
        <v>1021</v>
      </c>
      <c r="J19"/>
      <c r="K19" s="292" t="s">
        <v>1021</v>
      </c>
      <c r="M19" s="292" t="s">
        <v>1021</v>
      </c>
      <c r="N19" s="292" t="s">
        <v>985</v>
      </c>
      <c r="O19" s="292" t="s">
        <v>1021</v>
      </c>
      <c r="P19" s="211"/>
      <c r="T19" s="292" t="s">
        <v>1023</v>
      </c>
      <c r="W19" s="292" t="s">
        <v>1024</v>
      </c>
      <c r="X19" s="292" t="s">
        <v>1025</v>
      </c>
      <c r="Y19"/>
      <c r="Z19" s="292" t="s">
        <v>1026</v>
      </c>
      <c r="AC19"/>
      <c r="AD19" s="294" t="s">
        <v>591</v>
      </c>
      <c r="AE19" s="294" t="s">
        <v>591</v>
      </c>
      <c r="AF19" s="294" t="s">
        <v>591</v>
      </c>
      <c r="AG19" s="294" t="s">
        <v>591</v>
      </c>
      <c r="AH19" s="294" t="s">
        <v>591</v>
      </c>
      <c r="AI19" s="294"/>
      <c r="AJ19" s="294"/>
      <c r="AK19" s="294" t="s">
        <v>619</v>
      </c>
      <c r="AL19" s="294" t="s">
        <v>591</v>
      </c>
      <c r="AN19" s="294" t="s">
        <v>619</v>
      </c>
      <c r="AP19" s="292" t="s">
        <v>582</v>
      </c>
      <c r="AT19" s="292" t="s">
        <v>619</v>
      </c>
    </row>
    <row r="20" spans="2:46" x14ac:dyDescent="0.2">
      <c r="B20" s="211"/>
      <c r="C20" s="211" t="s">
        <v>571</v>
      </c>
      <c r="D20" s="292" t="s">
        <v>1027</v>
      </c>
      <c r="E20" s="292" t="s">
        <v>1027</v>
      </c>
      <c r="F20" s="292" t="s">
        <v>1027</v>
      </c>
      <c r="G20" s="292" t="s">
        <v>1016</v>
      </c>
      <c r="H20" s="292" t="s">
        <v>1027</v>
      </c>
      <c r="I20" s="292" t="s">
        <v>1027</v>
      </c>
      <c r="J20"/>
      <c r="K20" s="292" t="s">
        <v>1027</v>
      </c>
      <c r="M20" s="292" t="s">
        <v>1027</v>
      </c>
      <c r="N20" s="292" t="s">
        <v>992</v>
      </c>
      <c r="O20" s="292" t="s">
        <v>1027</v>
      </c>
      <c r="P20" s="211"/>
      <c r="T20" s="292" t="s">
        <v>1028</v>
      </c>
      <c r="W20" s="292" t="s">
        <v>1029</v>
      </c>
      <c r="X20" s="292" t="s">
        <v>1030</v>
      </c>
      <c r="Y20"/>
      <c r="Z20" s="292" t="s">
        <v>1031</v>
      </c>
      <c r="AC20"/>
      <c r="AD20" s="294" t="s">
        <v>571</v>
      </c>
      <c r="AE20" s="294" t="s">
        <v>571</v>
      </c>
      <c r="AF20" s="294" t="s">
        <v>571</v>
      </c>
      <c r="AG20" s="294" t="s">
        <v>571</v>
      </c>
      <c r="AH20" s="294" t="s">
        <v>571</v>
      </c>
      <c r="AI20" s="294"/>
      <c r="AJ20" s="294"/>
      <c r="AK20" s="294" t="s">
        <v>621</v>
      </c>
      <c r="AL20" s="294" t="s">
        <v>571</v>
      </c>
      <c r="AN20" s="294" t="s">
        <v>621</v>
      </c>
      <c r="AP20" s="292" t="s">
        <v>615</v>
      </c>
      <c r="AT20" s="292" t="s">
        <v>621</v>
      </c>
    </row>
    <row r="21" spans="2:46" x14ac:dyDescent="0.2">
      <c r="B21" s="211"/>
      <c r="C21" s="211" t="s">
        <v>605</v>
      </c>
      <c r="D21" s="292" t="s">
        <v>1032</v>
      </c>
      <c r="E21" s="292" t="s">
        <v>1032</v>
      </c>
      <c r="F21" s="292" t="s">
        <v>1032</v>
      </c>
      <c r="G21" s="292" t="s">
        <v>1021</v>
      </c>
      <c r="H21" s="292" t="s">
        <v>1032</v>
      </c>
      <c r="I21" s="211"/>
      <c r="J21"/>
      <c r="K21" s="292" t="s">
        <v>1032</v>
      </c>
      <c r="M21" s="292" t="s">
        <v>1032</v>
      </c>
      <c r="N21" s="292" t="s">
        <v>999</v>
      </c>
      <c r="O21" s="292" t="s">
        <v>1032</v>
      </c>
      <c r="P21" s="211"/>
      <c r="T21" s="292" t="s">
        <v>1033</v>
      </c>
      <c r="W21" s="292" t="s">
        <v>1034</v>
      </c>
      <c r="X21" s="292" t="s">
        <v>1035</v>
      </c>
      <c r="Y21"/>
      <c r="Z21" s="292" t="s">
        <v>1036</v>
      </c>
      <c r="AC21"/>
      <c r="AD21" s="294" t="s">
        <v>605</v>
      </c>
      <c r="AE21" s="294" t="s">
        <v>605</v>
      </c>
      <c r="AF21" s="294" t="s">
        <v>605</v>
      </c>
      <c r="AG21" s="294" t="s">
        <v>605</v>
      </c>
      <c r="AH21" s="294" t="s">
        <v>605</v>
      </c>
      <c r="AI21" s="294"/>
      <c r="AJ21" s="294"/>
      <c r="AK21" s="294" t="s">
        <v>635</v>
      </c>
      <c r="AL21" s="294" t="s">
        <v>605</v>
      </c>
      <c r="AN21" s="294" t="s">
        <v>635</v>
      </c>
      <c r="AP21" s="292" t="s">
        <v>586</v>
      </c>
      <c r="AT21" s="292" t="s">
        <v>623</v>
      </c>
    </row>
    <row r="22" spans="2:46" x14ac:dyDescent="0.2">
      <c r="B22" s="211"/>
      <c r="C22" s="211" t="s">
        <v>576</v>
      </c>
      <c r="D22" s="292" t="s">
        <v>1037</v>
      </c>
      <c r="E22" s="292" t="s">
        <v>1037</v>
      </c>
      <c r="F22" s="292" t="s">
        <v>1037</v>
      </c>
      <c r="G22" s="292" t="s">
        <v>1027</v>
      </c>
      <c r="H22" s="292" t="s">
        <v>1037</v>
      </c>
      <c r="I22" s="211"/>
      <c r="J22"/>
      <c r="K22" s="292" t="s">
        <v>1037</v>
      </c>
      <c r="M22" s="292" t="s">
        <v>1037</v>
      </c>
      <c r="N22" s="292" t="s">
        <v>1005</v>
      </c>
      <c r="O22" s="292" t="s">
        <v>1037</v>
      </c>
      <c r="P22" s="211"/>
      <c r="T22" s="292" t="s">
        <v>1038</v>
      </c>
      <c r="W22" s="292" t="s">
        <v>1039</v>
      </c>
      <c r="X22" s="292" t="s">
        <v>1040</v>
      </c>
      <c r="Y22" s="218"/>
      <c r="Z22" s="292" t="s">
        <v>1041</v>
      </c>
      <c r="AC22"/>
      <c r="AD22" s="294" t="s">
        <v>576</v>
      </c>
      <c r="AE22" s="294" t="s">
        <v>576</v>
      </c>
      <c r="AF22" s="294" t="s">
        <v>576</v>
      </c>
      <c r="AG22" s="294" t="s">
        <v>576</v>
      </c>
      <c r="AH22" s="294" t="s">
        <v>576</v>
      </c>
      <c r="AI22" s="294"/>
      <c r="AJ22" s="294"/>
      <c r="AK22"/>
      <c r="AL22" s="292" t="s">
        <v>576</v>
      </c>
      <c r="AP22" s="294" t="s">
        <v>617</v>
      </c>
      <c r="AT22" s="292" t="s">
        <v>624</v>
      </c>
    </row>
    <row r="23" spans="2:46" x14ac:dyDescent="0.2">
      <c r="B23" s="211"/>
      <c r="C23" s="211" t="s">
        <v>611</v>
      </c>
      <c r="D23"/>
      <c r="E23" s="292" t="s">
        <v>1042</v>
      </c>
      <c r="F23" s="211"/>
      <c r="G23"/>
      <c r="H23" s="292" t="s">
        <v>1042</v>
      </c>
      <c r="I23" s="211"/>
      <c r="J23"/>
      <c r="K23" s="292" t="s">
        <v>1042</v>
      </c>
      <c r="M23" s="292" t="s">
        <v>1042</v>
      </c>
      <c r="N23" s="292" t="s">
        <v>1010</v>
      </c>
      <c r="O23" s="292" t="s">
        <v>1042</v>
      </c>
      <c r="P23" s="211"/>
      <c r="T23" s="292" t="s">
        <v>1043</v>
      </c>
      <c r="W23" s="292" t="s">
        <v>1044</v>
      </c>
      <c r="X23" s="292" t="s">
        <v>1045</v>
      </c>
      <c r="Y23" s="218"/>
      <c r="Z23" s="292" t="s">
        <v>1046</v>
      </c>
      <c r="AC23"/>
      <c r="AD23" s="294" t="s">
        <v>611</v>
      </c>
      <c r="AE23" s="294" t="s">
        <v>611</v>
      </c>
      <c r="AF23" s="294" t="s">
        <v>611</v>
      </c>
      <c r="AG23" s="294" t="s">
        <v>611</v>
      </c>
      <c r="AH23" s="294" t="s">
        <v>611</v>
      </c>
      <c r="AI23" s="294"/>
      <c r="AJ23" s="294"/>
      <c r="AK23"/>
      <c r="AL23" s="292" t="s">
        <v>611</v>
      </c>
      <c r="AP23" s="292" t="s">
        <v>106</v>
      </c>
      <c r="AT23" s="292" t="s">
        <v>626</v>
      </c>
    </row>
    <row r="24" spans="2:46" x14ac:dyDescent="0.2">
      <c r="B24" s="211"/>
      <c r="C24" s="211" t="s">
        <v>582</v>
      </c>
      <c r="D24"/>
      <c r="E24" s="292" t="s">
        <v>1047</v>
      </c>
      <c r="F24" s="211"/>
      <c r="G24"/>
      <c r="H24" s="292" t="s">
        <v>1047</v>
      </c>
      <c r="I24" s="211"/>
      <c r="J24"/>
      <c r="K24" s="292" t="s">
        <v>1047</v>
      </c>
      <c r="M24" s="292" t="s">
        <v>1047</v>
      </c>
      <c r="N24" s="292" t="s">
        <v>1016</v>
      </c>
      <c r="O24" s="292" t="s">
        <v>1047</v>
      </c>
      <c r="P24" s="211"/>
      <c r="T24" s="292" t="s">
        <v>1048</v>
      </c>
      <c r="W24" s="292" t="s">
        <v>1049</v>
      </c>
      <c r="X24" s="292" t="s">
        <v>1050</v>
      </c>
      <c r="Y24" s="218"/>
      <c r="Z24" s="292" t="s">
        <v>1051</v>
      </c>
      <c r="AC24"/>
      <c r="AD24" s="294" t="s">
        <v>582</v>
      </c>
      <c r="AE24" s="294" t="s">
        <v>582</v>
      </c>
      <c r="AF24" s="294" t="s">
        <v>582</v>
      </c>
      <c r="AG24" s="294" t="s">
        <v>582</v>
      </c>
      <c r="AH24" s="294" t="s">
        <v>582</v>
      </c>
      <c r="AI24" s="294"/>
      <c r="AJ24" s="294"/>
      <c r="AK24"/>
      <c r="AL24" s="292" t="s">
        <v>582</v>
      </c>
      <c r="AP24" s="292" t="s">
        <v>620</v>
      </c>
      <c r="AT24" s="292" t="s">
        <v>630</v>
      </c>
    </row>
    <row r="25" spans="2:46" x14ac:dyDescent="0.2">
      <c r="B25" s="211"/>
      <c r="C25" s="211" t="s">
        <v>615</v>
      </c>
      <c r="D25"/>
      <c r="F25" s="211"/>
      <c r="G25"/>
      <c r="I25" s="211"/>
      <c r="J25"/>
      <c r="N25" s="292" t="s">
        <v>1021</v>
      </c>
      <c r="O25"/>
      <c r="P25" s="211"/>
      <c r="T25" s="292" t="s">
        <v>1052</v>
      </c>
      <c r="W25" s="292" t="s">
        <v>1053</v>
      </c>
      <c r="X25" s="292" t="s">
        <v>1054</v>
      </c>
      <c r="Y25" s="218"/>
      <c r="Z25" s="292" t="s">
        <v>1055</v>
      </c>
      <c r="AC25"/>
      <c r="AD25" s="294" t="s">
        <v>615</v>
      </c>
      <c r="AE25" s="294" t="s">
        <v>615</v>
      </c>
      <c r="AF25" s="294" t="s">
        <v>615</v>
      </c>
      <c r="AG25" s="294" t="s">
        <v>615</v>
      </c>
      <c r="AH25" s="294" t="s">
        <v>615</v>
      </c>
      <c r="AI25" s="294"/>
      <c r="AJ25" s="294"/>
      <c r="AK25"/>
      <c r="AL25" s="292" t="s">
        <v>615</v>
      </c>
      <c r="AP25" s="292" t="s">
        <v>612</v>
      </c>
      <c r="AT25" s="292" t="s">
        <v>635</v>
      </c>
    </row>
    <row r="26" spans="2:46" x14ac:dyDescent="0.2">
      <c r="B26" s="211"/>
      <c r="C26" s="211" t="s">
        <v>586</v>
      </c>
      <c r="D26"/>
      <c r="F26" s="211"/>
      <c r="G26"/>
      <c r="I26" s="211"/>
      <c r="J26"/>
      <c r="N26" s="292" t="s">
        <v>1027</v>
      </c>
      <c r="O26"/>
      <c r="P26" s="211"/>
      <c r="W26" s="292" t="s">
        <v>1056</v>
      </c>
      <c r="X26" s="292" t="s">
        <v>1057</v>
      </c>
      <c r="Y26" s="218"/>
      <c r="Z26" s="292" t="s">
        <v>1058</v>
      </c>
      <c r="AC26"/>
      <c r="AD26" s="294" t="s">
        <v>586</v>
      </c>
      <c r="AE26" s="294" t="s">
        <v>586</v>
      </c>
      <c r="AF26" s="294" t="s">
        <v>586</v>
      </c>
      <c r="AG26" s="294" t="s">
        <v>586</v>
      </c>
      <c r="AH26" s="294" t="s">
        <v>586</v>
      </c>
      <c r="AI26" s="294"/>
      <c r="AJ26" s="294"/>
      <c r="AK26"/>
      <c r="AL26" s="292" t="s">
        <v>586</v>
      </c>
      <c r="AP26" s="292" t="s">
        <v>119</v>
      </c>
      <c r="AT26" s="292" t="s">
        <v>647</v>
      </c>
    </row>
    <row r="27" spans="2:46" x14ac:dyDescent="0.2">
      <c r="B27" s="211"/>
      <c r="C27" s="211" t="s">
        <v>617</v>
      </c>
      <c r="D27"/>
      <c r="F27" s="211"/>
      <c r="G27"/>
      <c r="I27" s="211"/>
      <c r="J27"/>
      <c r="N27" s="292" t="s">
        <v>1032</v>
      </c>
      <c r="O27"/>
      <c r="P27" s="211"/>
      <c r="W27" s="292" t="s">
        <v>1059</v>
      </c>
      <c r="X27" s="292" t="s">
        <v>1060</v>
      </c>
      <c r="Y27" s="218"/>
      <c r="Z27" s="292" t="s">
        <v>1061</v>
      </c>
      <c r="AC27"/>
      <c r="AD27" s="294" t="s">
        <v>617</v>
      </c>
      <c r="AE27" s="294" t="s">
        <v>617</v>
      </c>
      <c r="AF27" s="294" t="s">
        <v>617</v>
      </c>
      <c r="AG27" s="294" t="s">
        <v>617</v>
      </c>
      <c r="AH27" s="294" t="s">
        <v>617</v>
      </c>
      <c r="AI27" s="294"/>
      <c r="AJ27" s="294"/>
      <c r="AK27" s="294"/>
      <c r="AL27" s="294" t="s">
        <v>617</v>
      </c>
      <c r="AP27" s="292" t="s">
        <v>619</v>
      </c>
      <c r="AT27" s="292" t="s">
        <v>648</v>
      </c>
    </row>
    <row r="28" spans="2:46" x14ac:dyDescent="0.2">
      <c r="B28" s="211"/>
      <c r="C28" s="211" t="s">
        <v>106</v>
      </c>
      <c r="D28"/>
      <c r="F28" s="211"/>
      <c r="G28"/>
      <c r="I28" s="211"/>
      <c r="J28"/>
      <c r="N28" s="292" t="s">
        <v>1037</v>
      </c>
      <c r="O28"/>
      <c r="P28" s="211"/>
      <c r="X28" s="292" t="s">
        <v>1062</v>
      </c>
      <c r="Y28" s="218"/>
      <c r="Z28" s="292" t="s">
        <v>1063</v>
      </c>
      <c r="AC28"/>
      <c r="AD28" s="294" t="s">
        <v>106</v>
      </c>
      <c r="AE28" s="294" t="s">
        <v>106</v>
      </c>
      <c r="AF28" s="294" t="s">
        <v>106</v>
      </c>
      <c r="AG28" s="294" t="s">
        <v>106</v>
      </c>
      <c r="AH28" s="294" t="s">
        <v>106</v>
      </c>
      <c r="AI28" s="294"/>
      <c r="AJ28" s="294"/>
      <c r="AK28" s="294"/>
      <c r="AL28" s="294" t="s">
        <v>106</v>
      </c>
      <c r="AP28" s="292" t="s">
        <v>120</v>
      </c>
      <c r="AT28" s="292" t="s">
        <v>649</v>
      </c>
    </row>
    <row r="29" spans="2:46" x14ac:dyDescent="0.2">
      <c r="B29" s="211"/>
      <c r="C29" s="211" t="s">
        <v>620</v>
      </c>
      <c r="D29"/>
      <c r="F29" s="211"/>
      <c r="G29"/>
      <c r="I29" s="211"/>
      <c r="J29"/>
      <c r="N29" s="292" t="s">
        <v>1042</v>
      </c>
      <c r="O29"/>
      <c r="P29" s="211"/>
      <c r="X29" s="292" t="s">
        <v>1064</v>
      </c>
      <c r="Z29" s="292" t="s">
        <v>1065</v>
      </c>
      <c r="AC29"/>
      <c r="AD29" s="294" t="s">
        <v>620</v>
      </c>
      <c r="AE29" s="294" t="s">
        <v>620</v>
      </c>
      <c r="AF29" s="294" t="s">
        <v>620</v>
      </c>
      <c r="AG29" s="294" t="s">
        <v>620</v>
      </c>
      <c r="AH29" s="294" t="s">
        <v>620</v>
      </c>
      <c r="AI29" s="294"/>
      <c r="AJ29" s="294"/>
      <c r="AK29" s="294"/>
      <c r="AL29" s="294" t="s">
        <v>620</v>
      </c>
      <c r="AP29" s="292" t="s">
        <v>621</v>
      </c>
      <c r="AT29" s="292" t="s">
        <v>650</v>
      </c>
    </row>
    <row r="30" spans="2:46" x14ac:dyDescent="0.2">
      <c r="B30" s="211"/>
      <c r="C30" s="211" t="s">
        <v>612</v>
      </c>
      <c r="D30"/>
      <c r="F30" s="211"/>
      <c r="G30"/>
      <c r="I30" s="211"/>
      <c r="J30" s="211"/>
      <c r="N30" s="292" t="s">
        <v>1047</v>
      </c>
      <c r="O30"/>
      <c r="P30" s="211"/>
      <c r="X30" s="292" t="s">
        <v>1066</v>
      </c>
      <c r="Z30" s="292" t="s">
        <v>1067</v>
      </c>
      <c r="AC30"/>
      <c r="AD30" s="294" t="s">
        <v>612</v>
      </c>
      <c r="AE30" s="294" t="s">
        <v>612</v>
      </c>
      <c r="AF30" s="294" t="s">
        <v>612</v>
      </c>
      <c r="AG30" s="294" t="s">
        <v>612</v>
      </c>
      <c r="AH30" s="294" t="s">
        <v>612</v>
      </c>
      <c r="AI30" s="294"/>
      <c r="AJ30" s="294"/>
      <c r="AK30" s="294"/>
      <c r="AL30" s="294" t="s">
        <v>612</v>
      </c>
      <c r="AP30" s="292" t="s">
        <v>623</v>
      </c>
      <c r="AT30" s="292" t="s">
        <v>651</v>
      </c>
    </row>
    <row r="31" spans="2:46" x14ac:dyDescent="0.2">
      <c r="B31" s="211"/>
      <c r="C31" s="211" t="s">
        <v>119</v>
      </c>
      <c r="D31"/>
      <c r="F31" s="211"/>
      <c r="G31"/>
      <c r="I31" s="211"/>
      <c r="J31" s="211"/>
      <c r="O31" s="211"/>
      <c r="P31" s="211"/>
      <c r="X31" s="292" t="s">
        <v>1068</v>
      </c>
      <c r="Z31" s="292" t="s">
        <v>1069</v>
      </c>
      <c r="AC31"/>
      <c r="AD31" s="294" t="s">
        <v>119</v>
      </c>
      <c r="AE31" s="294" t="s">
        <v>119</v>
      </c>
      <c r="AF31" s="294" t="s">
        <v>119</v>
      </c>
      <c r="AG31" s="294" t="s">
        <v>119</v>
      </c>
      <c r="AH31" s="294" t="s">
        <v>119</v>
      </c>
      <c r="AI31" s="294"/>
      <c r="AJ31" s="294"/>
      <c r="AK31" s="294"/>
      <c r="AL31" s="294" t="s">
        <v>119</v>
      </c>
      <c r="AP31" s="292" t="s">
        <v>624</v>
      </c>
      <c r="AT31" s="292" t="s">
        <v>652</v>
      </c>
    </row>
    <row r="32" spans="2:46" x14ac:dyDescent="0.2">
      <c r="B32" s="211"/>
      <c r="C32" s="211" t="s">
        <v>619</v>
      </c>
      <c r="D32"/>
      <c r="F32" s="211"/>
      <c r="G32"/>
      <c r="I32" s="211"/>
      <c r="J32" s="295"/>
      <c r="O32" s="295"/>
      <c r="P32" s="211"/>
      <c r="X32" s="292" t="s">
        <v>1070</v>
      </c>
      <c r="Z32" s="292" t="s">
        <v>1071</v>
      </c>
      <c r="AC32"/>
      <c r="AD32" s="294" t="s">
        <v>619</v>
      </c>
      <c r="AE32" s="294" t="s">
        <v>619</v>
      </c>
      <c r="AF32" s="294" t="s">
        <v>619</v>
      </c>
      <c r="AG32" s="294" t="s">
        <v>619</v>
      </c>
      <c r="AH32" s="294" t="s">
        <v>619</v>
      </c>
      <c r="AI32" s="294"/>
      <c r="AJ32" s="294"/>
      <c r="AK32" s="294"/>
      <c r="AL32" s="294" t="s">
        <v>619</v>
      </c>
      <c r="AP32" s="292" t="s">
        <v>626</v>
      </c>
      <c r="AT32" s="292" t="s">
        <v>653</v>
      </c>
    </row>
    <row r="33" spans="2:46" x14ac:dyDescent="0.2">
      <c r="B33" s="211"/>
      <c r="C33" s="211" t="s">
        <v>120</v>
      </c>
      <c r="D33"/>
      <c r="F33" s="211"/>
      <c r="G33"/>
      <c r="I33" s="211"/>
      <c r="P33" s="211"/>
      <c r="X33" s="292" t="s">
        <v>1072</v>
      </c>
      <c r="Z33" s="292" t="s">
        <v>1073</v>
      </c>
      <c r="AC33"/>
      <c r="AD33" s="294" t="s">
        <v>120</v>
      </c>
      <c r="AE33" s="294" t="s">
        <v>120</v>
      </c>
      <c r="AF33" s="294" t="s">
        <v>120</v>
      </c>
      <c r="AG33" s="294" t="s">
        <v>120</v>
      </c>
      <c r="AH33" s="294" t="s">
        <v>120</v>
      </c>
      <c r="AI33" s="294"/>
      <c r="AJ33" s="294"/>
      <c r="AK33" s="294"/>
      <c r="AL33" s="294" t="s">
        <v>120</v>
      </c>
      <c r="AP33" s="292" t="s">
        <v>630</v>
      </c>
      <c r="AT33" s="292" t="s">
        <v>654</v>
      </c>
    </row>
    <row r="34" spans="2:46" x14ac:dyDescent="0.2">
      <c r="B34" s="211"/>
      <c r="C34" s="211" t="s">
        <v>621</v>
      </c>
      <c r="D34"/>
      <c r="F34" s="211"/>
      <c r="G34"/>
      <c r="I34" s="211"/>
      <c r="P34" s="211"/>
      <c r="X34" s="292" t="s">
        <v>1074</v>
      </c>
      <c r="Z34" s="292" t="s">
        <v>1075</v>
      </c>
      <c r="AC34"/>
      <c r="AD34" s="294" t="s">
        <v>621</v>
      </c>
      <c r="AE34" s="294" t="s">
        <v>621</v>
      </c>
      <c r="AF34" s="294" t="s">
        <v>621</v>
      </c>
      <c r="AG34" s="294" t="s">
        <v>621</v>
      </c>
      <c r="AH34" s="294" t="s">
        <v>621</v>
      </c>
      <c r="AI34" s="294"/>
      <c r="AJ34" s="294"/>
      <c r="AK34" s="294"/>
      <c r="AL34" s="294" t="s">
        <v>621</v>
      </c>
      <c r="AP34" s="292" t="s">
        <v>635</v>
      </c>
      <c r="AT34" s="292" t="s">
        <v>977</v>
      </c>
    </row>
    <row r="35" spans="2:46" x14ac:dyDescent="0.2">
      <c r="B35" s="211"/>
      <c r="C35" s="211" t="s">
        <v>623</v>
      </c>
      <c r="D35"/>
      <c r="F35" s="211"/>
      <c r="G35"/>
      <c r="I35" s="211"/>
      <c r="P35" s="211"/>
      <c r="X35" s="292" t="s">
        <v>1076</v>
      </c>
      <c r="Z35" s="292" t="s">
        <v>1077</v>
      </c>
      <c r="AC35"/>
      <c r="AD35" s="294" t="s">
        <v>623</v>
      </c>
      <c r="AE35" s="294" t="s">
        <v>623</v>
      </c>
      <c r="AF35" s="294" t="s">
        <v>623</v>
      </c>
      <c r="AG35" s="294" t="s">
        <v>623</v>
      </c>
      <c r="AH35" s="294" t="s">
        <v>623</v>
      </c>
      <c r="AI35" s="294"/>
      <c r="AJ35" s="294"/>
      <c r="AK35" s="294"/>
      <c r="AL35" s="294" t="s">
        <v>623</v>
      </c>
      <c r="AP35" s="292" t="s">
        <v>642</v>
      </c>
    </row>
    <row r="36" spans="2:46" x14ac:dyDescent="0.2">
      <c r="B36" s="211"/>
      <c r="C36" s="211" t="s">
        <v>624</v>
      </c>
      <c r="D36"/>
      <c r="F36" s="211"/>
      <c r="G36"/>
      <c r="I36" s="211"/>
      <c r="P36" s="211"/>
      <c r="X36" s="292" t="s">
        <v>1078</v>
      </c>
      <c r="Z36" s="292" t="s">
        <v>1079</v>
      </c>
      <c r="AC36"/>
      <c r="AD36" s="294" t="s">
        <v>624</v>
      </c>
      <c r="AE36" s="294" t="s">
        <v>624</v>
      </c>
      <c r="AF36" s="294" t="s">
        <v>624</v>
      </c>
      <c r="AG36" s="294" t="s">
        <v>624</v>
      </c>
      <c r="AH36" s="294" t="s">
        <v>624</v>
      </c>
      <c r="AI36" s="294"/>
      <c r="AJ36" s="294"/>
      <c r="AK36" s="294"/>
      <c r="AL36" s="294" t="s">
        <v>624</v>
      </c>
      <c r="AP36" s="292" t="s">
        <v>644</v>
      </c>
    </row>
    <row r="37" spans="2:46" x14ac:dyDescent="0.2">
      <c r="B37" s="211"/>
      <c r="C37" s="211" t="s">
        <v>626</v>
      </c>
      <c r="D37"/>
      <c r="F37" s="211"/>
      <c r="G37"/>
      <c r="I37" s="211"/>
      <c r="P37" s="211"/>
      <c r="X37" s="292" t="s">
        <v>1080</v>
      </c>
      <c r="Z37" s="292" t="s">
        <v>1081</v>
      </c>
      <c r="AC37"/>
      <c r="AD37" s="294" t="s">
        <v>626</v>
      </c>
      <c r="AE37" s="294" t="s">
        <v>626</v>
      </c>
      <c r="AF37" s="294" t="s">
        <v>626</v>
      </c>
      <c r="AG37" s="294" t="s">
        <v>626</v>
      </c>
      <c r="AH37" s="294" t="s">
        <v>626</v>
      </c>
      <c r="AI37" s="294"/>
      <c r="AJ37" s="294"/>
      <c r="AK37" s="294"/>
      <c r="AL37" s="294" t="s">
        <v>626</v>
      </c>
      <c r="AP37" s="292" t="s">
        <v>645</v>
      </c>
    </row>
    <row r="38" spans="2:46" x14ac:dyDescent="0.2">
      <c r="B38" s="211"/>
      <c r="C38" s="211" t="s">
        <v>630</v>
      </c>
      <c r="D38"/>
      <c r="F38" s="211"/>
      <c r="G38"/>
      <c r="I38" s="211"/>
      <c r="P38" s="211"/>
      <c r="X38" s="292" t="s">
        <v>1082</v>
      </c>
      <c r="Z38" s="292" t="s">
        <v>1083</v>
      </c>
      <c r="AC38"/>
      <c r="AD38" s="294" t="s">
        <v>630</v>
      </c>
      <c r="AE38" s="294" t="s">
        <v>630</v>
      </c>
      <c r="AF38" s="294" t="s">
        <v>630</v>
      </c>
      <c r="AG38" s="294" t="s">
        <v>630</v>
      </c>
      <c r="AH38" s="294" t="s">
        <v>630</v>
      </c>
      <c r="AI38" s="294"/>
      <c r="AJ38" s="294"/>
      <c r="AK38" s="294"/>
      <c r="AL38" s="294" t="s">
        <v>630</v>
      </c>
      <c r="AP38" s="292" t="s">
        <v>646</v>
      </c>
    </row>
    <row r="39" spans="2:46" x14ac:dyDescent="0.2">
      <c r="B39" s="211"/>
      <c r="C39" s="211" t="s">
        <v>635</v>
      </c>
      <c r="D39"/>
      <c r="F39" s="211"/>
      <c r="G39"/>
      <c r="I39" s="211"/>
      <c r="P39" s="211"/>
      <c r="X39" s="292" t="s">
        <v>1084</v>
      </c>
      <c r="Z39" s="292" t="s">
        <v>1085</v>
      </c>
      <c r="AC39"/>
      <c r="AD39" s="294" t="s">
        <v>635</v>
      </c>
      <c r="AE39" s="294" t="s">
        <v>635</v>
      </c>
      <c r="AF39" s="294" t="s">
        <v>635</v>
      </c>
      <c r="AG39" s="294" t="s">
        <v>635</v>
      </c>
      <c r="AH39" s="294" t="s">
        <v>635</v>
      </c>
      <c r="AI39" s="294"/>
      <c r="AJ39" s="294"/>
      <c r="AK39" s="294"/>
      <c r="AL39" s="294" t="s">
        <v>635</v>
      </c>
      <c r="AP39" s="292" t="s">
        <v>121</v>
      </c>
    </row>
    <row r="40" spans="2:46" x14ac:dyDescent="0.2">
      <c r="B40" s="211"/>
      <c r="C40" s="211" t="s">
        <v>639</v>
      </c>
      <c r="D40"/>
      <c r="F40" s="211"/>
      <c r="G40"/>
      <c r="I40" s="211"/>
      <c r="P40" s="211"/>
      <c r="X40" s="292" t="s">
        <v>1086</v>
      </c>
      <c r="Z40" s="292" t="s">
        <v>1087</v>
      </c>
      <c r="AC40"/>
      <c r="AD40" s="294" t="s">
        <v>639</v>
      </c>
      <c r="AE40" s="294" t="s">
        <v>639</v>
      </c>
      <c r="AF40" s="294" t="s">
        <v>639</v>
      </c>
      <c r="AG40" s="294" t="s">
        <v>639</v>
      </c>
      <c r="AH40" s="294" t="s">
        <v>639</v>
      </c>
      <c r="AI40" s="294"/>
      <c r="AJ40" s="294"/>
      <c r="AK40" s="294"/>
      <c r="AL40" s="294" t="s">
        <v>639</v>
      </c>
      <c r="AP40" s="292" t="s">
        <v>647</v>
      </c>
    </row>
    <row r="41" spans="2:46" x14ac:dyDescent="0.2">
      <c r="B41" s="211"/>
      <c r="C41" s="211" t="s">
        <v>642</v>
      </c>
      <c r="D41"/>
      <c r="F41" s="211"/>
      <c r="G41"/>
      <c r="I41" s="211"/>
      <c r="P41" s="211"/>
      <c r="X41" s="292" t="s">
        <v>1088</v>
      </c>
      <c r="Z41" s="292" t="s">
        <v>1089</v>
      </c>
      <c r="AC41"/>
      <c r="AD41" s="294" t="s">
        <v>642</v>
      </c>
      <c r="AE41" s="294" t="s">
        <v>642</v>
      </c>
      <c r="AF41" s="294" t="s">
        <v>642</v>
      </c>
      <c r="AG41" s="294" t="s">
        <v>642</v>
      </c>
      <c r="AH41" s="294" t="s">
        <v>642</v>
      </c>
      <c r="AI41" s="294"/>
      <c r="AJ41" s="294"/>
      <c r="AK41" s="294"/>
      <c r="AL41" s="294" t="s">
        <v>642</v>
      </c>
      <c r="AP41" s="292" t="s">
        <v>648</v>
      </c>
    </row>
    <row r="42" spans="2:46" x14ac:dyDescent="0.2">
      <c r="B42" s="211"/>
      <c r="C42" s="211" t="s">
        <v>644</v>
      </c>
      <c r="D42"/>
      <c r="F42" s="211"/>
      <c r="G42" s="211"/>
      <c r="I42" s="211"/>
      <c r="P42" s="211"/>
      <c r="X42" s="292" t="s">
        <v>1090</v>
      </c>
      <c r="Z42" s="292" t="s">
        <v>1091</v>
      </c>
      <c r="AC42"/>
      <c r="AD42" s="294" t="s">
        <v>644</v>
      </c>
      <c r="AE42" s="294" t="s">
        <v>644</v>
      </c>
      <c r="AF42" s="294" t="s">
        <v>644</v>
      </c>
      <c r="AG42" s="294" t="s">
        <v>644</v>
      </c>
      <c r="AH42" s="294" t="s">
        <v>644</v>
      </c>
      <c r="AI42" s="294"/>
      <c r="AJ42" s="294"/>
      <c r="AK42" s="294"/>
      <c r="AL42" s="294" t="s">
        <v>644</v>
      </c>
      <c r="AP42" s="292" t="s">
        <v>649</v>
      </c>
    </row>
    <row r="43" spans="2:46" x14ac:dyDescent="0.2">
      <c r="B43" s="211"/>
      <c r="C43" s="211" t="s">
        <v>645</v>
      </c>
      <c r="D43"/>
      <c r="F43" s="211"/>
      <c r="G43" s="211"/>
      <c r="I43" s="211"/>
      <c r="P43" s="211"/>
      <c r="X43" s="292" t="s">
        <v>1092</v>
      </c>
      <c r="Z43" s="292" t="s">
        <v>1093</v>
      </c>
      <c r="AC43"/>
      <c r="AD43" s="294" t="s">
        <v>645</v>
      </c>
      <c r="AE43" s="294" t="s">
        <v>645</v>
      </c>
      <c r="AF43" s="294" t="s">
        <v>645</v>
      </c>
      <c r="AG43" s="294" t="s">
        <v>645</v>
      </c>
      <c r="AH43" s="294" t="s">
        <v>645</v>
      </c>
      <c r="AI43" s="294"/>
      <c r="AJ43" s="294"/>
      <c r="AK43" s="294"/>
      <c r="AL43" s="294" t="s">
        <v>645</v>
      </c>
      <c r="AP43" s="292" t="s">
        <v>650</v>
      </c>
    </row>
    <row r="44" spans="2:46" x14ac:dyDescent="0.2">
      <c r="B44" s="211"/>
      <c r="C44" s="211" t="s">
        <v>121</v>
      </c>
      <c r="D44"/>
      <c r="F44" s="211"/>
      <c r="G44" s="211"/>
      <c r="I44" s="211"/>
      <c r="P44" s="211"/>
      <c r="X44" s="292" t="s">
        <v>1094</v>
      </c>
      <c r="Z44" s="292" t="s">
        <v>1095</v>
      </c>
      <c r="AC44"/>
      <c r="AD44" s="294" t="s">
        <v>121</v>
      </c>
      <c r="AE44" s="294" t="s">
        <v>121</v>
      </c>
      <c r="AF44" s="294" t="s">
        <v>121</v>
      </c>
      <c r="AG44" s="294" t="s">
        <v>121</v>
      </c>
      <c r="AH44" s="294" t="s">
        <v>121</v>
      </c>
      <c r="AI44" s="294"/>
      <c r="AJ44" s="294"/>
      <c r="AK44" s="294"/>
      <c r="AL44" s="294" t="s">
        <v>121</v>
      </c>
      <c r="AP44" s="292" t="s">
        <v>651</v>
      </c>
    </row>
    <row r="45" spans="2:46" x14ac:dyDescent="0.2">
      <c r="B45" s="211"/>
      <c r="C45" s="211" t="s">
        <v>647</v>
      </c>
      <c r="D45"/>
      <c r="F45" s="295"/>
      <c r="G45" s="295"/>
      <c r="I45" s="295"/>
      <c r="P45" s="295"/>
      <c r="X45" s="292" t="s">
        <v>1096</v>
      </c>
      <c r="Z45" s="292" t="s">
        <v>1097</v>
      </c>
      <c r="AC45"/>
      <c r="AD45" s="294" t="s">
        <v>647</v>
      </c>
      <c r="AE45" s="294" t="s">
        <v>647</v>
      </c>
      <c r="AF45" s="294" t="s">
        <v>647</v>
      </c>
      <c r="AG45" s="294" t="s">
        <v>647</v>
      </c>
      <c r="AH45" s="294" t="s">
        <v>647</v>
      </c>
      <c r="AI45" s="294"/>
      <c r="AJ45" s="294"/>
      <c r="AK45" s="294"/>
      <c r="AL45" s="294" t="s">
        <v>647</v>
      </c>
      <c r="AP45" s="292" t="s">
        <v>652</v>
      </c>
    </row>
    <row r="46" spans="2:46" x14ac:dyDescent="0.2">
      <c r="C46" s="292" t="s">
        <v>648</v>
      </c>
      <c r="D46"/>
      <c r="X46" s="292" t="s">
        <v>1098</v>
      </c>
      <c r="Z46" s="292" t="s">
        <v>1099</v>
      </c>
      <c r="AC46"/>
      <c r="AD46" s="292" t="s">
        <v>648</v>
      </c>
      <c r="AE46" s="292" t="s">
        <v>648</v>
      </c>
      <c r="AF46" s="292" t="s">
        <v>648</v>
      </c>
      <c r="AG46" s="292" t="s">
        <v>648</v>
      </c>
      <c r="AH46" s="292" t="s">
        <v>648</v>
      </c>
      <c r="AL46" s="292" t="s">
        <v>648</v>
      </c>
      <c r="AP46" s="292" t="s">
        <v>653</v>
      </c>
    </row>
    <row r="47" spans="2:46" x14ac:dyDescent="0.2">
      <c r="C47" s="292" t="s">
        <v>649</v>
      </c>
      <c r="D47"/>
      <c r="X47" s="292" t="s">
        <v>1100</v>
      </c>
      <c r="Z47" s="292" t="s">
        <v>1101</v>
      </c>
      <c r="AC47"/>
      <c r="AD47" s="292" t="s">
        <v>649</v>
      </c>
      <c r="AE47" s="292" t="s">
        <v>649</v>
      </c>
      <c r="AF47" s="292" t="s">
        <v>649</v>
      </c>
      <c r="AG47" s="292" t="s">
        <v>649</v>
      </c>
      <c r="AH47" s="292" t="s">
        <v>649</v>
      </c>
      <c r="AL47" s="292" t="s">
        <v>649</v>
      </c>
      <c r="AP47" s="292" t="s">
        <v>654</v>
      </c>
    </row>
    <row r="48" spans="2:46" x14ac:dyDescent="0.2">
      <c r="C48" s="292" t="s">
        <v>650</v>
      </c>
      <c r="D48"/>
      <c r="X48" s="292" t="s">
        <v>1102</v>
      </c>
      <c r="Z48" s="292" t="s">
        <v>1103</v>
      </c>
      <c r="AC48"/>
      <c r="AD48" s="292" t="s">
        <v>650</v>
      </c>
      <c r="AE48" s="292" t="s">
        <v>650</v>
      </c>
      <c r="AF48" s="292" t="s">
        <v>650</v>
      </c>
      <c r="AG48" s="292" t="s">
        <v>650</v>
      </c>
      <c r="AH48" s="292" t="s">
        <v>650</v>
      </c>
      <c r="AL48" s="292" t="s">
        <v>650</v>
      </c>
      <c r="AP48" s="292" t="s">
        <v>977</v>
      </c>
    </row>
    <row r="49" spans="3:38" x14ac:dyDescent="0.2">
      <c r="C49" s="292" t="s">
        <v>651</v>
      </c>
      <c r="D49"/>
      <c r="X49" s="292" t="s">
        <v>1104</v>
      </c>
      <c r="Z49" s="292" t="s">
        <v>1105</v>
      </c>
      <c r="AC49"/>
      <c r="AD49" s="292" t="s">
        <v>651</v>
      </c>
      <c r="AE49" s="292" t="s">
        <v>651</v>
      </c>
      <c r="AF49" s="292" t="s">
        <v>651</v>
      </c>
      <c r="AG49" s="292" t="s">
        <v>651</v>
      </c>
      <c r="AH49" s="292" t="s">
        <v>651</v>
      </c>
      <c r="AL49" s="292" t="s">
        <v>651</v>
      </c>
    </row>
    <row r="50" spans="3:38" x14ac:dyDescent="0.2">
      <c r="C50" s="292" t="s">
        <v>652</v>
      </c>
      <c r="D50"/>
      <c r="X50" s="292" t="s">
        <v>1106</v>
      </c>
      <c r="AC50"/>
      <c r="AD50" s="292" t="s">
        <v>652</v>
      </c>
      <c r="AE50" s="292" t="s">
        <v>652</v>
      </c>
      <c r="AF50" s="292" t="s">
        <v>652</v>
      </c>
      <c r="AG50" s="292" t="s">
        <v>652</v>
      </c>
      <c r="AH50" s="292" t="s">
        <v>652</v>
      </c>
      <c r="AL50" s="292" t="s">
        <v>652</v>
      </c>
    </row>
    <row r="51" spans="3:38" x14ac:dyDescent="0.2">
      <c r="C51" s="292" t="s">
        <v>653</v>
      </c>
      <c r="D51"/>
      <c r="X51" s="292" t="s">
        <v>1107</v>
      </c>
      <c r="AC51"/>
      <c r="AD51" s="292" t="s">
        <v>653</v>
      </c>
      <c r="AE51" s="292" t="s">
        <v>653</v>
      </c>
      <c r="AF51" s="292" t="s">
        <v>653</v>
      </c>
      <c r="AG51" s="292" t="s">
        <v>653</v>
      </c>
      <c r="AH51" s="292" t="s">
        <v>653</v>
      </c>
      <c r="AL51" s="292" t="s">
        <v>653</v>
      </c>
    </row>
    <row r="52" spans="3:38" x14ac:dyDescent="0.2">
      <c r="C52" s="292" t="s">
        <v>654</v>
      </c>
      <c r="D52"/>
      <c r="AC52"/>
      <c r="AD52" s="292" t="s">
        <v>654</v>
      </c>
      <c r="AE52" s="292" t="s">
        <v>654</v>
      </c>
      <c r="AF52" s="292" t="s">
        <v>654</v>
      </c>
      <c r="AG52" s="292" t="s">
        <v>654</v>
      </c>
      <c r="AH52" s="292" t="s">
        <v>654</v>
      </c>
      <c r="AL52" s="292" t="s">
        <v>654</v>
      </c>
    </row>
    <row r="53" spans="3:38" x14ac:dyDescent="0.2">
      <c r="C53" s="292" t="s">
        <v>977</v>
      </c>
      <c r="D53"/>
      <c r="AC53"/>
      <c r="AD53" s="292" t="s">
        <v>977</v>
      </c>
      <c r="AE53" s="292" t="s">
        <v>977</v>
      </c>
      <c r="AF53" s="292" t="s">
        <v>977</v>
      </c>
      <c r="AG53" s="292" t="s">
        <v>977</v>
      </c>
      <c r="AH53" s="292" t="s">
        <v>977</v>
      </c>
      <c r="AL53" s="292" t="s">
        <v>977</v>
      </c>
    </row>
    <row r="54" spans="3:38" x14ac:dyDescent="0.2">
      <c r="D54"/>
      <c r="AC54"/>
      <c r="AD54" s="292" t="s">
        <v>1108</v>
      </c>
      <c r="AE54" s="292" t="s">
        <v>1109</v>
      </c>
      <c r="AF54" s="292" t="s">
        <v>1110</v>
      </c>
      <c r="AG54" s="292" t="s">
        <v>1111</v>
      </c>
      <c r="AH54" s="292" t="s">
        <v>1112</v>
      </c>
      <c r="AL54" s="292" t="s">
        <v>1113</v>
      </c>
    </row>
    <row r="55" spans="3:38" x14ac:dyDescent="0.2">
      <c r="D55"/>
      <c r="AC55"/>
      <c r="AD55" s="292" t="s">
        <v>1114</v>
      </c>
      <c r="AE55" s="292" t="s">
        <v>1115</v>
      </c>
      <c r="AF55" s="292" t="s">
        <v>1116</v>
      </c>
      <c r="AG55" s="292" t="s">
        <v>1117</v>
      </c>
      <c r="AH55" s="292" t="s">
        <v>1118</v>
      </c>
      <c r="AL55" s="292" t="s">
        <v>1119</v>
      </c>
    </row>
    <row r="56" spans="3:38" x14ac:dyDescent="0.2">
      <c r="D56"/>
      <c r="AC56"/>
      <c r="AD56" s="292" t="s">
        <v>1120</v>
      </c>
      <c r="AE56" s="292" t="s">
        <v>1121</v>
      </c>
      <c r="AF56" s="292" t="s">
        <v>1111</v>
      </c>
      <c r="AG56" s="292" t="s">
        <v>1118</v>
      </c>
      <c r="AH56" s="292" t="s">
        <v>1122</v>
      </c>
      <c r="AL56" s="292" t="s">
        <v>1123</v>
      </c>
    </row>
    <row r="57" spans="3:38" x14ac:dyDescent="0.2">
      <c r="D57"/>
      <c r="AC57"/>
      <c r="AD57" s="292" t="s">
        <v>1124</v>
      </c>
      <c r="AE57" s="292" t="s">
        <v>1125</v>
      </c>
      <c r="AF57" s="292" t="s">
        <v>1126</v>
      </c>
      <c r="AG57" s="292" t="s">
        <v>1122</v>
      </c>
      <c r="AH57" s="292" t="s">
        <v>1127</v>
      </c>
      <c r="AL57" s="292" t="s">
        <v>1128</v>
      </c>
    </row>
    <row r="58" spans="3:38" x14ac:dyDescent="0.2">
      <c r="D58"/>
      <c r="AC58"/>
      <c r="AD58" s="292" t="s">
        <v>1129</v>
      </c>
      <c r="AE58" s="292" t="s">
        <v>1130</v>
      </c>
      <c r="AF58" s="292" t="s">
        <v>1131</v>
      </c>
      <c r="AG58" s="292" t="s">
        <v>1127</v>
      </c>
      <c r="AL58" s="292" t="s">
        <v>1132</v>
      </c>
    </row>
    <row r="59" spans="3:38" x14ac:dyDescent="0.2">
      <c r="D59"/>
      <c r="AC59"/>
      <c r="AD59" s="292" t="s">
        <v>1133</v>
      </c>
      <c r="AE59" s="292" t="s">
        <v>1134</v>
      </c>
      <c r="AF59" s="292" t="s">
        <v>1118</v>
      </c>
      <c r="AG59" s="292" t="s">
        <v>1135</v>
      </c>
      <c r="AL59" s="292" t="s">
        <v>1136</v>
      </c>
    </row>
    <row r="60" spans="3:38" x14ac:dyDescent="0.2">
      <c r="D60"/>
      <c r="AC60"/>
      <c r="AD60" s="292" t="s">
        <v>1137</v>
      </c>
      <c r="AE60" s="292" t="s">
        <v>1118</v>
      </c>
      <c r="AF60" s="292" t="s">
        <v>1122</v>
      </c>
      <c r="AG60" s="292" t="s">
        <v>1138</v>
      </c>
      <c r="AL60" s="292" t="s">
        <v>1139</v>
      </c>
    </row>
    <row r="61" spans="3:38" x14ac:dyDescent="0.2">
      <c r="D61"/>
      <c r="AC61"/>
      <c r="AD61" s="292" t="s">
        <v>1140</v>
      </c>
      <c r="AE61" s="292" t="s">
        <v>1122</v>
      </c>
      <c r="AF61" s="292" t="s">
        <v>1127</v>
      </c>
      <c r="AG61" s="292" t="s">
        <v>1141</v>
      </c>
      <c r="AL61" s="292" t="s">
        <v>1142</v>
      </c>
    </row>
    <row r="62" spans="3:38" x14ac:dyDescent="0.2">
      <c r="D62"/>
      <c r="AC62"/>
      <c r="AD62" s="292" t="s">
        <v>1117</v>
      </c>
      <c r="AE62" s="292" t="s">
        <v>1127</v>
      </c>
      <c r="AF62" s="292" t="s">
        <v>1135</v>
      </c>
      <c r="AG62" s="292" t="s">
        <v>1143</v>
      </c>
      <c r="AL62" s="292" t="s">
        <v>1144</v>
      </c>
    </row>
    <row r="63" spans="3:38" x14ac:dyDescent="0.2">
      <c r="D63"/>
      <c r="AC63"/>
      <c r="AD63" s="292" t="s">
        <v>1145</v>
      </c>
      <c r="AG63" s="292" t="s">
        <v>1146</v>
      </c>
    </row>
    <row r="64" spans="3:38" x14ac:dyDescent="0.2">
      <c r="D64"/>
      <c r="AC64"/>
      <c r="AD64" s="292" t="s">
        <v>1147</v>
      </c>
      <c r="AG64" s="292" t="s">
        <v>1148</v>
      </c>
    </row>
    <row r="65" spans="4:33" x14ac:dyDescent="0.2">
      <c r="D65"/>
      <c r="AC65" s="292" t="s">
        <v>1149</v>
      </c>
      <c r="AD65" s="292" t="s">
        <v>1112</v>
      </c>
      <c r="AG65" s="292" t="s">
        <v>1150</v>
      </c>
    </row>
    <row r="66" spans="4:33" x14ac:dyDescent="0.2">
      <c r="D66"/>
      <c r="AC66" s="292" t="s">
        <v>1151</v>
      </c>
      <c r="AD66" s="292" t="s">
        <v>1118</v>
      </c>
      <c r="AG66" s="292" t="s">
        <v>1152</v>
      </c>
    </row>
    <row r="67" spans="4:33" x14ac:dyDescent="0.2">
      <c r="D67"/>
      <c r="AC67" s="292" t="s">
        <v>899</v>
      </c>
      <c r="AD67" s="292" t="s">
        <v>1122</v>
      </c>
      <c r="AG67" s="292" t="s">
        <v>1153</v>
      </c>
    </row>
    <row r="68" spans="4:33" x14ac:dyDescent="0.2">
      <c r="D68"/>
      <c r="AD68" s="292" t="s">
        <v>1127</v>
      </c>
      <c r="AG68" s="292" t="s">
        <v>1154</v>
      </c>
    </row>
    <row r="69" spans="4:33" x14ac:dyDescent="0.2">
      <c r="D69"/>
      <c r="AD69" s="292" t="s">
        <v>1135</v>
      </c>
      <c r="AG69" s="292" t="s">
        <v>1155</v>
      </c>
    </row>
    <row r="70" spans="4:33" x14ac:dyDescent="0.2">
      <c r="D70"/>
      <c r="AD70" s="292" t="s">
        <v>1138</v>
      </c>
      <c r="AG70" s="292" t="s">
        <v>1156</v>
      </c>
    </row>
    <row r="71" spans="4:33" x14ac:dyDescent="0.2">
      <c r="D71"/>
      <c r="AD71" s="292" t="s">
        <v>1141</v>
      </c>
      <c r="AG71" s="292" t="s">
        <v>1157</v>
      </c>
    </row>
    <row r="72" spans="4:33" x14ac:dyDescent="0.2">
      <c r="D72"/>
      <c r="AD72" s="292" t="s">
        <v>1143</v>
      </c>
      <c r="AG72" s="292" t="s">
        <v>1158</v>
      </c>
    </row>
    <row r="73" spans="4:33" x14ac:dyDescent="0.2">
      <c r="D73"/>
      <c r="AD73" s="292" t="s">
        <v>1146</v>
      </c>
      <c r="AG73" s="292" t="s">
        <v>1159</v>
      </c>
    </row>
    <row r="74" spans="4:33" x14ac:dyDescent="0.2">
      <c r="D74"/>
      <c r="AD74" s="292" t="s">
        <v>1148</v>
      </c>
      <c r="AG74" s="292" t="s">
        <v>1160</v>
      </c>
    </row>
    <row r="75" spans="4:33" x14ac:dyDescent="0.2">
      <c r="D75"/>
      <c r="AD75" s="292" t="s">
        <v>1150</v>
      </c>
      <c r="AG75" s="292" t="s">
        <v>1161</v>
      </c>
    </row>
    <row r="76" spans="4:33" x14ac:dyDescent="0.2">
      <c r="D76"/>
      <c r="AD76" s="292" t="s">
        <v>1152</v>
      </c>
    </row>
    <row r="77" spans="4:33" x14ac:dyDescent="0.2">
      <c r="D77"/>
      <c r="AD77" s="292" t="s">
        <v>1153</v>
      </c>
    </row>
    <row r="78" spans="4:33" x14ac:dyDescent="0.2">
      <c r="D78"/>
      <c r="AD78" s="292" t="s">
        <v>1154</v>
      </c>
    </row>
    <row r="79" spans="4:33" x14ac:dyDescent="0.2">
      <c r="D79"/>
      <c r="AD79" s="292" t="s">
        <v>1155</v>
      </c>
    </row>
    <row r="80" spans="4:33" x14ac:dyDescent="0.2">
      <c r="D80"/>
      <c r="AD80" s="292" t="s">
        <v>1156</v>
      </c>
    </row>
    <row r="81" spans="4:30" x14ac:dyDescent="0.2">
      <c r="D81"/>
      <c r="AD81" s="292" t="s">
        <v>1157</v>
      </c>
    </row>
    <row r="82" spans="4:30" x14ac:dyDescent="0.2">
      <c r="D82"/>
      <c r="AD82" s="292" t="s">
        <v>1158</v>
      </c>
    </row>
    <row r="83" spans="4:30" x14ac:dyDescent="0.2">
      <c r="D83"/>
      <c r="AD83" s="292" t="s">
        <v>1159</v>
      </c>
    </row>
    <row r="84" spans="4:30" x14ac:dyDescent="0.2">
      <c r="D84"/>
      <c r="AD84" s="292" t="s">
        <v>1160</v>
      </c>
    </row>
    <row r="85" spans="4:30" x14ac:dyDescent="0.2">
      <c r="D85"/>
      <c r="AD85" s="292" t="s">
        <v>1161</v>
      </c>
    </row>
    <row r="86" spans="4:30" x14ac:dyDescent="0.2">
      <c r="D86"/>
    </row>
    <row r="87" spans="4:30" x14ac:dyDescent="0.2">
      <c r="D87"/>
    </row>
    <row r="88" spans="4:30" x14ac:dyDescent="0.2">
      <c r="D88"/>
    </row>
    <row r="89" spans="4:30" x14ac:dyDescent="0.2">
      <c r="D89"/>
    </row>
    <row r="90" spans="4:30" x14ac:dyDescent="0.2">
      <c r="D90"/>
    </row>
    <row r="91" spans="4:30" x14ac:dyDescent="0.2">
      <c r="D91"/>
    </row>
    <row r="92" spans="4:30" x14ac:dyDescent="0.2">
      <c r="D92"/>
    </row>
    <row r="93" spans="4:30" x14ac:dyDescent="0.2">
      <c r="D93"/>
    </row>
    <row r="94" spans="4:30" x14ac:dyDescent="0.2">
      <c r="D94"/>
    </row>
    <row r="95" spans="4:30" x14ac:dyDescent="0.2">
      <c r="D95"/>
    </row>
    <row r="96" spans="4:30" x14ac:dyDescent="0.2">
      <c r="D96"/>
    </row>
    <row r="97" spans="4:4" x14ac:dyDescent="0.2">
      <c r="D97"/>
    </row>
    <row r="98" spans="4:4" x14ac:dyDescent="0.2">
      <c r="D98"/>
    </row>
    <row r="99" spans="4:4" x14ac:dyDescent="0.2">
      <c r="D99"/>
    </row>
    <row r="100" spans="4:4" x14ac:dyDescent="0.2">
      <c r="D100"/>
    </row>
    <row r="101" spans="4:4" x14ac:dyDescent="0.2">
      <c r="D101"/>
    </row>
    <row r="102" spans="4:4" x14ac:dyDescent="0.2">
      <c r="D102"/>
    </row>
    <row r="103" spans="4:4" x14ac:dyDescent="0.2">
      <c r="D103"/>
    </row>
    <row r="104" spans="4:4" x14ac:dyDescent="0.2">
      <c r="D104"/>
    </row>
    <row r="105" spans="4:4" x14ac:dyDescent="0.2">
      <c r="D105"/>
    </row>
    <row r="106" spans="4:4" x14ac:dyDescent="0.2">
      <c r="D106"/>
    </row>
    <row r="107" spans="4:4" x14ac:dyDescent="0.2">
      <c r="D107" s="292" t="s">
        <v>1162</v>
      </c>
    </row>
    <row r="108" spans="4:4" x14ac:dyDescent="0.2">
      <c r="D108" s="292" t="s">
        <v>1163</v>
      </c>
    </row>
    <row r="109" spans="4:4" x14ac:dyDescent="0.2">
      <c r="D109" s="292" t="s">
        <v>1164</v>
      </c>
    </row>
    <row r="110" spans="4:4" x14ac:dyDescent="0.2">
      <c r="D110" s="292" t="s">
        <v>1165</v>
      </c>
    </row>
    <row r="111" spans="4:4" x14ac:dyDescent="0.2">
      <c r="D111" s="292" t="s">
        <v>1166</v>
      </c>
    </row>
    <row r="112" spans="4:4" x14ac:dyDescent="0.2">
      <c r="D112" s="292" t="s">
        <v>1167</v>
      </c>
    </row>
    <row r="113" spans="4:4" x14ac:dyDescent="0.2">
      <c r="D113" s="292" t="s">
        <v>1168</v>
      </c>
    </row>
    <row r="114" spans="4:4" x14ac:dyDescent="0.2">
      <c r="D114" s="292" t="s">
        <v>1169</v>
      </c>
    </row>
    <row r="115" spans="4:4" x14ac:dyDescent="0.2">
      <c r="D115" s="292" t="s">
        <v>1170</v>
      </c>
    </row>
    <row r="116" spans="4:4" x14ac:dyDescent="0.2">
      <c r="D116" s="292" t="s">
        <v>1171</v>
      </c>
    </row>
    <row r="117" spans="4:4" x14ac:dyDescent="0.2">
      <c r="D117" s="292" t="s">
        <v>1172</v>
      </c>
    </row>
    <row r="118" spans="4:4" x14ac:dyDescent="0.2">
      <c r="D118" s="292" t="s">
        <v>1173</v>
      </c>
    </row>
    <row r="119" spans="4:4" x14ac:dyDescent="0.2">
      <c r="D119" s="292" t="s">
        <v>1174</v>
      </c>
    </row>
    <row r="120" spans="4:4" x14ac:dyDescent="0.2">
      <c r="D120" s="292" t="s">
        <v>888</v>
      </c>
    </row>
    <row r="121" spans="4:4" x14ac:dyDescent="0.2">
      <c r="D121" s="292" t="s">
        <v>902</v>
      </c>
    </row>
    <row r="122" spans="4:4" x14ac:dyDescent="0.2">
      <c r="D122" s="292" t="s">
        <v>915</v>
      </c>
    </row>
    <row r="123" spans="4:4" x14ac:dyDescent="0.2">
      <c r="D123" s="292" t="s">
        <v>928</v>
      </c>
    </row>
    <row r="124" spans="4:4" x14ac:dyDescent="0.2">
      <c r="D124" s="292" t="s">
        <v>940</v>
      </c>
    </row>
    <row r="125" spans="4:4" x14ac:dyDescent="0.2">
      <c r="D125" s="292" t="s">
        <v>952</v>
      </c>
    </row>
  </sheetData>
  <pageMargins left="0.75" right="0.75" top="1" bottom="1" header="0.51180555555555496" footer="0.51180555555555496"/>
  <pageSetup paperSize="0" scale="0" firstPageNumber="0" orientation="portrait" usePrinterDefaults="0"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Site</vt:lpstr>
      <vt:lpstr>back</vt:lpstr>
      <vt:lpstr>New KR</vt:lpstr>
      <vt:lpstr>back DSL</vt:lpstr>
      <vt:lpstr>datacentre addresses</vt:lpstr>
      <vt:lpstr>back-Bandwidths</vt:lpstr>
      <vt:lpstr>Site!Print_Area</vt:lpstr>
      <vt:lpstr>Site!Print_Area_0</vt:lpstr>
      <vt:lpstr>Site!Print_Area_1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coppens</dc:creator>
  <cp:lastModifiedBy>aas</cp:lastModifiedBy>
  <cp:revision>0</cp:revision>
  <cp:lastPrinted>2016-03-03T14:00:03Z</cp:lastPrinted>
  <dcterms:created xsi:type="dcterms:W3CDTF">2006-06-21T06:35:11Z</dcterms:created>
  <dcterms:modified xsi:type="dcterms:W3CDTF">2016-04-20T12:14:28Z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6d9884d5-37c7-445c-8e17-528a6b6528da</vt:lpwstr>
  </property>
</Properties>
</file>